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Eigene Dateien\Geschaeftsbericht\2016\Download Dateien\"/>
    </mc:Choice>
  </mc:AlternateContent>
  <bookViews>
    <workbookView xWindow="0" yWindow="0" windowWidth="25200" windowHeight="10788"/>
  </bookViews>
  <sheets>
    <sheet name="10-Jahres-Übersicht Konzern" sheetId="1" r:id="rId1"/>
  </sheets>
  <externalReferences>
    <externalReference r:id="rId2"/>
  </externalReferences>
  <definedNames>
    <definedName name="_xlnm.Print_Area" localSheetId="0">'10-Jahres-Übersicht Konzern'!$A$1:$L$106</definedName>
    <definedName name="_xlnm.Print_Titles" localSheetId="0">'10-Jahres-Übersicht Konzern'!$A:$B</definedName>
  </definedNames>
  <calcPr calcId="152511" fullCalcOnLoad="1"/>
</workbook>
</file>

<file path=xl/calcChain.xml><?xml version="1.0" encoding="utf-8"?>
<calcChain xmlns="http://schemas.openxmlformats.org/spreadsheetml/2006/main">
  <c r="C99" i="1" l="1"/>
  <c r="D94" i="1"/>
  <c r="D99" i="1"/>
  <c r="C50" i="1"/>
  <c r="C52" i="1" s="1"/>
  <c r="C95" i="1"/>
  <c r="C65" i="1"/>
  <c r="C67" i="1" s="1"/>
  <c r="C76" i="1"/>
  <c r="C78" i="1"/>
  <c r="C81" i="1" s="1"/>
  <c r="C36" i="1"/>
  <c r="C28" i="1"/>
  <c r="C57" i="1"/>
  <c r="C20" i="1"/>
  <c r="E36" i="1"/>
  <c r="D36" i="1"/>
  <c r="D95" i="1"/>
  <c r="E95" i="1"/>
  <c r="E96" i="1"/>
  <c r="D50" i="1"/>
  <c r="D77" i="1"/>
  <c r="D65" i="1"/>
  <c r="D67" i="1" s="1"/>
  <c r="D28" i="1"/>
  <c r="D57" i="1"/>
  <c r="D20" i="1"/>
  <c r="E28" i="1"/>
  <c r="E65" i="1"/>
  <c r="E67" i="1"/>
  <c r="E48" i="1" s="1"/>
  <c r="E52" i="1"/>
  <c r="E50" i="1"/>
  <c r="E77" i="1"/>
  <c r="E20" i="1"/>
  <c r="F50" i="1"/>
  <c r="F13" i="1"/>
  <c r="F28" i="1"/>
  <c r="F57" i="1"/>
  <c r="F65" i="1"/>
  <c r="F76" i="1" s="1"/>
  <c r="F78" i="1" s="1"/>
  <c r="F81" i="1" s="1"/>
  <c r="F77" i="1"/>
  <c r="G65" i="1"/>
  <c r="G76" i="1" s="1"/>
  <c r="G77" i="1"/>
  <c r="F36" i="1"/>
  <c r="F20" i="1"/>
  <c r="S11" i="1"/>
  <c r="R11" i="1"/>
  <c r="Q11" i="1"/>
  <c r="P11" i="1"/>
  <c r="O11" i="1"/>
  <c r="N11" i="1"/>
  <c r="G13" i="1"/>
  <c r="G26" i="1"/>
  <c r="G28" i="1" s="1"/>
  <c r="G57" i="1" s="1"/>
  <c r="G50" i="1"/>
  <c r="G18" i="1"/>
  <c r="H65" i="1"/>
  <c r="H67" i="1" s="1"/>
  <c r="H48" i="1" s="1"/>
  <c r="H77" i="1"/>
  <c r="G36" i="1"/>
  <c r="G20" i="1"/>
  <c r="H50" i="1"/>
  <c r="H52" i="1" s="1"/>
  <c r="H13" i="1"/>
  <c r="H28" i="1"/>
  <c r="H57" i="1"/>
  <c r="H18" i="1"/>
  <c r="I65" i="1"/>
  <c r="I76" i="1" s="1"/>
  <c r="I77" i="1"/>
  <c r="I78" i="1"/>
  <c r="I81" i="1" s="1"/>
  <c r="H36" i="1"/>
  <c r="I13" i="1"/>
  <c r="I18" i="1" s="1"/>
  <c r="I46" i="1"/>
  <c r="I67" i="1"/>
  <c r="I52" i="1" s="1"/>
  <c r="I50" i="1"/>
  <c r="I26" i="1"/>
  <c r="I28" i="1"/>
  <c r="I57" i="1" s="1"/>
  <c r="J65" i="1"/>
  <c r="J76" i="1"/>
  <c r="J78" i="1" s="1"/>
  <c r="J81" i="1" s="1"/>
  <c r="I83" i="1" s="1"/>
  <c r="J77" i="1"/>
  <c r="J79" i="1"/>
  <c r="I36" i="1"/>
  <c r="N36" i="1"/>
  <c r="M36" i="1"/>
  <c r="L36" i="1"/>
  <c r="K36" i="1"/>
  <c r="J36" i="1"/>
  <c r="O36" i="1"/>
  <c r="O38" i="1" s="1"/>
  <c r="S18" i="1"/>
  <c r="S65" i="1"/>
  <c r="S76" i="1" s="1"/>
  <c r="S77" i="1"/>
  <c r="J50" i="1"/>
  <c r="J26" i="1"/>
  <c r="J28" i="1"/>
  <c r="J13" i="1"/>
  <c r="J18" i="1" s="1"/>
  <c r="J67" i="1"/>
  <c r="J48" i="1" s="1"/>
  <c r="J52" i="1"/>
  <c r="K65" i="1"/>
  <c r="K77" i="1"/>
  <c r="K28" i="1"/>
  <c r="K18" i="1"/>
  <c r="K20" i="1"/>
  <c r="L65" i="1"/>
  <c r="L67" i="1" s="1"/>
  <c r="L48" i="1" s="1"/>
  <c r="L76" i="1"/>
  <c r="L77" i="1"/>
  <c r="K50" i="1"/>
  <c r="P67" i="1"/>
  <c r="P52" i="1" s="1"/>
  <c r="P87" i="1"/>
  <c r="P13" i="1"/>
  <c r="P18" i="1" s="1"/>
  <c r="P83" i="1" s="1"/>
  <c r="P76" i="1"/>
  <c r="P77" i="1"/>
  <c r="P78" i="1"/>
  <c r="P81" i="1" s="1"/>
  <c r="P46" i="1"/>
  <c r="P48" i="1" s="1"/>
  <c r="P38" i="1"/>
  <c r="R13" i="1"/>
  <c r="R18" i="1" s="1"/>
  <c r="R38" i="1"/>
  <c r="R46" i="1"/>
  <c r="R57" i="1" s="1"/>
  <c r="R67" i="1"/>
  <c r="R87" i="1" s="1"/>
  <c r="R52" i="1"/>
  <c r="R76" i="1"/>
  <c r="R77" i="1"/>
  <c r="R78" i="1"/>
  <c r="R81" i="1"/>
  <c r="Q76" i="1"/>
  <c r="Q78" i="1"/>
  <c r="Q81" i="1" s="1"/>
  <c r="Q77" i="1"/>
  <c r="L50" i="1"/>
  <c r="L52" i="1"/>
  <c r="L28" i="1"/>
  <c r="L18" i="1"/>
  <c r="L20" i="1"/>
  <c r="M65" i="1"/>
  <c r="M77" i="1"/>
  <c r="N18" i="1"/>
  <c r="O67" i="1"/>
  <c r="O52" i="1" s="1"/>
  <c r="N76" i="1"/>
  <c r="N77" i="1"/>
  <c r="O77" i="1"/>
  <c r="O78" i="1" s="1"/>
  <c r="O81" i="1" s="1"/>
  <c r="O83" i="1" s="1"/>
  <c r="Q13" i="1"/>
  <c r="Q18" i="1"/>
  <c r="M18" i="1"/>
  <c r="N67" i="1"/>
  <c r="N48" i="1" s="1"/>
  <c r="Q67" i="1"/>
  <c r="Q52" i="1" s="1"/>
  <c r="M50" i="1"/>
  <c r="M44" i="1"/>
  <c r="M28" i="1"/>
  <c r="Q46" i="1"/>
  <c r="Q48" i="1" s="1"/>
  <c r="S46" i="1"/>
  <c r="S50" i="1"/>
  <c r="N50" i="1"/>
  <c r="N52" i="1" s="1"/>
  <c r="N28" i="1"/>
  <c r="N57" i="1" s="1"/>
  <c r="O28" i="1"/>
  <c r="S9" i="1"/>
  <c r="S20" i="1" s="1"/>
  <c r="S28" i="1"/>
  <c r="S26" i="1"/>
  <c r="S57" i="1"/>
  <c r="Q87" i="1"/>
  <c r="S13" i="1"/>
  <c r="Q38" i="1"/>
  <c r="S38" i="1"/>
  <c r="S42" i="1"/>
  <c r="S44" i="1"/>
  <c r="S36" i="1"/>
  <c r="S32" i="1"/>
  <c r="S30" i="1"/>
  <c r="S23" i="1"/>
  <c r="S15" i="1"/>
  <c r="S7" i="1"/>
  <c r="E76" i="1"/>
  <c r="E78" i="1" s="1"/>
  <c r="E81" i="1" s="1"/>
  <c r="S71" i="1"/>
  <c r="P57" i="1"/>
  <c r="H76" i="1"/>
  <c r="H78" i="1" s="1"/>
  <c r="H81" i="1" s="1"/>
  <c r="N20" i="1"/>
  <c r="M20" i="1"/>
  <c r="Q57" i="1"/>
  <c r="M57" i="1"/>
  <c r="K57" i="1"/>
  <c r="I87" i="1"/>
  <c r="E83" i="1"/>
  <c r="S67" i="1"/>
  <c r="G67" i="1"/>
  <c r="G87" i="1" s="1"/>
  <c r="N78" i="1"/>
  <c r="N81" i="1"/>
  <c r="C48" i="1"/>
  <c r="C87" i="1"/>
  <c r="O57" i="1"/>
  <c r="S87" i="1"/>
  <c r="S52" i="1"/>
  <c r="S48" i="1"/>
  <c r="G52" i="1"/>
  <c r="S34" i="1"/>
  <c r="G78" i="1" l="1"/>
  <c r="G81" i="1" s="1"/>
  <c r="F83" i="1" s="1"/>
  <c r="G83" i="1"/>
  <c r="M76" i="1"/>
  <c r="M78" i="1" s="1"/>
  <c r="M81" i="1" s="1"/>
  <c r="M67" i="1"/>
  <c r="H20" i="1"/>
  <c r="H83" i="1"/>
  <c r="E54" i="1"/>
  <c r="D48" i="1"/>
  <c r="D87" i="1"/>
  <c r="H87" i="1"/>
  <c r="D83" i="1"/>
  <c r="F67" i="1"/>
  <c r="O87" i="1"/>
  <c r="O48" i="1"/>
  <c r="Q20" i="1"/>
  <c r="Q54" i="1"/>
  <c r="G54" i="1"/>
  <c r="G48" i="1"/>
  <c r="Q83" i="1"/>
  <c r="L78" i="1"/>
  <c r="L81" i="1" s="1"/>
  <c r="K76" i="1"/>
  <c r="K78" i="1" s="1"/>
  <c r="K81" i="1" s="1"/>
  <c r="J83" i="1" s="1"/>
  <c r="K67" i="1"/>
  <c r="K48" i="1" s="1"/>
  <c r="J57" i="1"/>
  <c r="J87" i="1"/>
  <c r="I48" i="1"/>
  <c r="D52" i="1"/>
  <c r="H54" i="1"/>
  <c r="P20" i="1"/>
  <c r="J20" i="1"/>
  <c r="N87" i="1"/>
  <c r="O69" i="1"/>
  <c r="N83" i="1" s="1"/>
  <c r="L57" i="1"/>
  <c r="L87" i="1"/>
  <c r="R48" i="1"/>
  <c r="R20" i="1"/>
  <c r="S78" i="1"/>
  <c r="S81" i="1" s="1"/>
  <c r="I54" i="1"/>
  <c r="I20" i="1"/>
  <c r="E57" i="1"/>
  <c r="E87" i="1"/>
  <c r="D76" i="1"/>
  <c r="D78" i="1" s="1"/>
  <c r="D81" i="1" s="1"/>
  <c r="D54" i="1" s="1"/>
  <c r="F54" i="1" l="1"/>
  <c r="S83" i="1"/>
  <c r="R54" i="1"/>
  <c r="S54" i="1"/>
  <c r="M48" i="1"/>
  <c r="M87" i="1"/>
  <c r="M52" i="1"/>
  <c r="J54" i="1"/>
  <c r="L54" i="1"/>
  <c r="M54" i="1"/>
  <c r="M83" i="1"/>
  <c r="L83" i="1"/>
  <c r="R83" i="1"/>
  <c r="K87" i="1"/>
  <c r="N54" i="1"/>
  <c r="C54" i="1"/>
  <c r="C83" i="1"/>
  <c r="K83" i="1"/>
  <c r="K54" i="1"/>
  <c r="F48" i="1"/>
  <c r="F87" i="1"/>
  <c r="K52" i="1"/>
  <c r="F52" i="1"/>
</calcChain>
</file>

<file path=xl/sharedStrings.xml><?xml version="1.0" encoding="utf-8"?>
<sst xmlns="http://schemas.openxmlformats.org/spreadsheetml/2006/main" count="87" uniqueCount="52">
  <si>
    <t>Geschäftsjahr</t>
  </si>
  <si>
    <t>Umsatz</t>
  </si>
  <si>
    <t>Ertragssteuern</t>
  </si>
  <si>
    <t>Investitionen</t>
  </si>
  <si>
    <t>Dividendensumme</t>
  </si>
  <si>
    <t>Dividende je Aktie</t>
  </si>
  <si>
    <t>Aktien</t>
  </si>
  <si>
    <t>Anlagevermögen</t>
  </si>
  <si>
    <t>Umlaufvermögen</t>
  </si>
  <si>
    <t>Eigenkapital</t>
  </si>
  <si>
    <t>Eigenkapitalquote</t>
  </si>
  <si>
    <t>Umsatzrendite</t>
  </si>
  <si>
    <t>(bezogen auf das Betriebsergebnis)</t>
  </si>
  <si>
    <t>Verzinsung des eingesetzten Kapitals</t>
  </si>
  <si>
    <t>(Return On Investment)</t>
  </si>
  <si>
    <t>Eigenkapitalrendite</t>
  </si>
  <si>
    <t>Anzahl</t>
  </si>
  <si>
    <t>(EUR)</t>
  </si>
  <si>
    <t>Mitarbeiter (Durchschnitt)</t>
  </si>
  <si>
    <t>Abschreibungen</t>
  </si>
  <si>
    <t>Verbindlichkeiten ggü. Kreditinstituten</t>
  </si>
  <si>
    <t>Bilanzsumme</t>
  </si>
  <si>
    <t>Sonderposten</t>
  </si>
  <si>
    <t>ABS</t>
  </si>
  <si>
    <t>eingesetztes Kapital ( Bilanzsumme - Verbindl. Aus LuL )</t>
  </si>
  <si>
    <t>HGB</t>
  </si>
  <si>
    <t>IFRS</t>
  </si>
  <si>
    <t>Ermittlung Gesamtkapitalrendite (ROI) neu</t>
  </si>
  <si>
    <t>./. Verbindlichkeiten aus LuL</t>
  </si>
  <si>
    <t xml:space="preserve">Gesamtkapitalrendite </t>
  </si>
  <si>
    <t>alte Version</t>
  </si>
  <si>
    <t>nach HGB</t>
  </si>
  <si>
    <t>Gewinn je Aktie</t>
  </si>
  <si>
    <t xml:space="preserve">&lt;-- IFRS  </t>
  </si>
  <si>
    <t xml:space="preserve"> HGB --&gt;</t>
  </si>
  <si>
    <t>Geschäftstätigkeit</t>
  </si>
  <si>
    <t xml:space="preserve">Ergebnis der gewöhnlichen </t>
  </si>
  <si>
    <t>Rohertragsmarge</t>
  </si>
  <si>
    <t>Cashflow vor Veränderung Working Capital</t>
  </si>
  <si>
    <t>Eigene Aktien</t>
  </si>
  <si>
    <t>Dividendenberichtigte Aktien</t>
  </si>
  <si>
    <t>eingesetztes Kapital ( Bilanzsumme - Verbindl. aus LuL )</t>
  </si>
  <si>
    <t>EBIT (Betriebsergebnis)</t>
  </si>
  <si>
    <t>(Betriebsergebnis zzgl. Abschreibungen)</t>
  </si>
  <si>
    <t xml:space="preserve">EBITDA </t>
  </si>
  <si>
    <t>Konzernjahresüberschuss</t>
  </si>
  <si>
    <t>(mEUR)</t>
  </si>
  <si>
    <t>(kEUR)</t>
  </si>
  <si>
    <r>
      <t>Fremdkapitalquote</t>
    </r>
    <r>
      <rPr>
        <vertAlign val="superscript"/>
        <sz val="10"/>
        <rFont val="Arial"/>
        <family val="2"/>
      </rPr>
      <t xml:space="preserve"> 1</t>
    </r>
  </si>
  <si>
    <r>
      <t>Gesamtkapitalrendite</t>
    </r>
    <r>
      <rPr>
        <vertAlign val="superscript"/>
        <sz val="10"/>
        <rFont val="Arial"/>
        <family val="2"/>
      </rPr>
      <t xml:space="preserve"> 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</si>
  <si>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Bankverbindlichkeiten / (Bilanzsumme / 100)</t>
    </r>
  </si>
  <si>
    <t xml:space="preserve">2 [EBIT / (durchschnittliche Bilanzsumme inklusive ABS - durchschnittliche Verbindlichkeiten aus Lieferungen und Leistungen)] *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</si>
</sst>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%"/>
    <numFmt numFmtId="173" formatCode="0.0"/>
    <numFmt numFmtId="175" formatCode="#,##0.0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quotePrefix="1"/>
    <xf numFmtId="172" fontId="0" fillId="0" borderId="0" xfId="0" applyNumberFormat="1"/>
    <xf numFmtId="3" fontId="0" fillId="0" borderId="0" xfId="0" applyNumberFormat="1"/>
    <xf numFmtId="173" fontId="0" fillId="0" borderId="0" xfId="0" applyNumberFormat="1"/>
    <xf numFmtId="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75" fontId="0" fillId="0" borderId="0" xfId="0" applyNumberFormat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75" fontId="0" fillId="0" borderId="4" xfId="0" applyNumberFormat="1" applyBorder="1"/>
    <xf numFmtId="175" fontId="0" fillId="0" borderId="5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75" fontId="0" fillId="0" borderId="0" xfId="0" applyNumberFormat="1" applyBorder="1"/>
    <xf numFmtId="175" fontId="0" fillId="0" borderId="6" xfId="0" applyNumberFormat="1" applyBorder="1"/>
    <xf numFmtId="175" fontId="0" fillId="0" borderId="0" xfId="0" applyNumberFormat="1" applyBorder="1" applyAlignment="1">
      <alignment horizontal="center"/>
    </xf>
    <xf numFmtId="175" fontId="0" fillId="0" borderId="6" xfId="0" applyNumberFormat="1" applyBorder="1" applyAlignment="1">
      <alignment horizontal="center"/>
    </xf>
    <xf numFmtId="0" fontId="0" fillId="0" borderId="7" xfId="0" applyBorder="1" applyProtection="1"/>
    <xf numFmtId="0" fontId="0" fillId="0" borderId="6" xfId="0" applyBorder="1"/>
    <xf numFmtId="172" fontId="0" fillId="0" borderId="0" xfId="0" applyNumberFormat="1" applyBorder="1"/>
    <xf numFmtId="172" fontId="0" fillId="0" borderId="6" xfId="0" applyNumberFormat="1" applyBorder="1"/>
    <xf numFmtId="0" fontId="0" fillId="0" borderId="8" xfId="0" quotePrefix="1" applyBorder="1"/>
    <xf numFmtId="0" fontId="0" fillId="0" borderId="9" xfId="0" applyBorder="1"/>
    <xf numFmtId="0" fontId="0" fillId="0" borderId="5" xfId="0" applyBorder="1"/>
    <xf numFmtId="0" fontId="0" fillId="0" borderId="8" xfId="0" applyBorder="1"/>
    <xf numFmtId="0" fontId="0" fillId="0" borderId="2" xfId="0" quotePrefix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/>
    <xf numFmtId="172" fontId="0" fillId="0" borderId="0" xfId="0" applyNumberFormat="1" applyFill="1"/>
    <xf numFmtId="0" fontId="3" fillId="0" borderId="0" xfId="0" applyFont="1" applyFill="1" applyAlignment="1">
      <alignment horizontal="center"/>
    </xf>
    <xf numFmtId="3" fontId="0" fillId="0" borderId="0" xfId="0" applyNumberFormat="1" applyFill="1"/>
    <xf numFmtId="4" fontId="0" fillId="0" borderId="0" xfId="0" applyNumberFormat="1" applyFill="1"/>
    <xf numFmtId="175" fontId="0" fillId="0" borderId="0" xfId="0" applyNumberFormat="1" applyFill="1"/>
    <xf numFmtId="0" fontId="0" fillId="0" borderId="0" xfId="0" applyFill="1"/>
    <xf numFmtId="173" fontId="0" fillId="0" borderId="0" xfId="0" applyNumberFormat="1" applyFill="1"/>
    <xf numFmtId="10" fontId="0" fillId="0" borderId="0" xfId="0" applyNumberFormat="1"/>
    <xf numFmtId="0" fontId="0" fillId="0" borderId="0" xfId="0" applyFill="1" applyAlignment="1">
      <alignment horizontal="center"/>
    </xf>
    <xf numFmtId="2" fontId="0" fillId="0" borderId="0" xfId="0" applyNumberFormat="1"/>
    <xf numFmtId="0" fontId="1" fillId="0" borderId="0" xfId="0" applyFont="1" applyFill="1"/>
    <xf numFmtId="173" fontId="4" fillId="0" borderId="0" xfId="0" applyNumberFormat="1" applyFont="1" applyFill="1"/>
    <xf numFmtId="4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/>
    <xf numFmtId="172" fontId="4" fillId="0" borderId="0" xfId="0" applyNumberFormat="1" applyFont="1"/>
    <xf numFmtId="0" fontId="4" fillId="0" borderId="0" xfId="0" quotePrefix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259081</xdr:colOff>
      <xdr:row>0</xdr:row>
      <xdr:rowOff>76200</xdr:rowOff>
    </xdr:from>
    <xdr:to>
      <xdr:col>11</xdr:col>
      <xdr:colOff>655321</xdr:colOff>
      <xdr:row>2</xdr:row>
      <xdr:rowOff>103503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1" y="76200"/>
          <a:ext cx="1905000" cy="3625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EUROTOOL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3"/>
      <sheetName val="1030"/>
      <sheetName val="1032"/>
      <sheetName val="1035"/>
      <sheetName val="1036"/>
      <sheetName val="1040"/>
      <sheetName val="1043"/>
      <sheetName val="1053"/>
      <sheetName val="2070"/>
      <sheetName val="3082"/>
      <sheetName val="1031"/>
      <sheetName val="2052"/>
      <sheetName val="1028"/>
      <sheetName val="1041"/>
      <sheetName val="1042"/>
      <sheetName val="1069"/>
    </sheetNames>
    <definedNames>
      <definedName name="euroconver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Q662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36" sqref="A36"/>
    </sheetView>
  </sheetViews>
  <sheetFormatPr baseColWidth="10" defaultRowHeight="13.2" x14ac:dyDescent="0.25"/>
  <cols>
    <col min="1" max="1" width="36.44140625" customWidth="1"/>
    <col min="2" max="2" width="6.6640625" bestFit="1" customWidth="1"/>
    <col min="7" max="12" width="11" customWidth="1"/>
    <col min="13" max="16" width="11" hidden="1" customWidth="1"/>
    <col min="17" max="19" width="0" hidden="1" customWidth="1"/>
  </cols>
  <sheetData>
    <row r="1" spans="1:121" x14ac:dyDescent="0.25">
      <c r="O1" s="34" t="s">
        <v>33</v>
      </c>
      <c r="P1" s="12" t="s">
        <v>34</v>
      </c>
    </row>
    <row r="2" spans="1:121" x14ac:dyDescent="0.25">
      <c r="O2" s="34"/>
      <c r="P2" s="12"/>
    </row>
    <row r="3" spans="1:121" x14ac:dyDescent="0.25">
      <c r="O3" s="34"/>
      <c r="P3" s="12"/>
    </row>
    <row r="4" spans="1:12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35"/>
      <c r="P4" s="11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</row>
    <row r="5" spans="1:121" x14ac:dyDescent="0.25">
      <c r="A5" s="8" t="s">
        <v>0</v>
      </c>
      <c r="B5" s="8"/>
      <c r="C5" s="8">
        <v>2016</v>
      </c>
      <c r="D5" s="8">
        <v>2015</v>
      </c>
      <c r="E5" s="8">
        <v>2014</v>
      </c>
      <c r="F5" s="8">
        <v>2013</v>
      </c>
      <c r="G5" s="8">
        <v>2012</v>
      </c>
      <c r="H5" s="8">
        <v>2011</v>
      </c>
      <c r="I5" s="8">
        <v>2010</v>
      </c>
      <c r="J5" s="8">
        <v>2009</v>
      </c>
      <c r="K5" s="8">
        <v>2008</v>
      </c>
      <c r="L5" s="8">
        <v>2007</v>
      </c>
      <c r="M5" s="8">
        <v>2006</v>
      </c>
      <c r="N5" s="8">
        <v>2005</v>
      </c>
      <c r="O5" s="35">
        <v>2004</v>
      </c>
      <c r="P5" s="11">
        <v>2003</v>
      </c>
      <c r="Q5" s="8">
        <v>2002</v>
      </c>
      <c r="R5" s="8">
        <v>2001</v>
      </c>
      <c r="S5" s="8">
        <v>2000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</row>
    <row r="6" spans="1:121" x14ac:dyDescent="0.25">
      <c r="N6" s="19"/>
      <c r="O6" s="19"/>
    </row>
    <row r="7" spans="1:121" x14ac:dyDescent="0.25">
      <c r="A7" t="s">
        <v>18</v>
      </c>
      <c r="B7" s="7" t="s">
        <v>16</v>
      </c>
      <c r="C7" s="49">
        <v>1665</v>
      </c>
      <c r="D7" s="49">
        <v>1631</v>
      </c>
      <c r="E7" s="38">
        <v>1559</v>
      </c>
      <c r="F7" s="38">
        <v>1523</v>
      </c>
      <c r="G7" s="38">
        <v>1504</v>
      </c>
      <c r="H7" s="38">
        <v>1528</v>
      </c>
      <c r="I7" s="38">
        <v>1520</v>
      </c>
      <c r="J7" s="38">
        <v>1614</v>
      </c>
      <c r="K7" s="3">
        <v>1539</v>
      </c>
      <c r="L7" s="3">
        <v>1372</v>
      </c>
      <c r="M7" s="3">
        <v>1248</v>
      </c>
      <c r="N7" s="3">
        <v>1167</v>
      </c>
      <c r="O7" s="3">
        <v>1138</v>
      </c>
      <c r="P7" s="3">
        <v>1118</v>
      </c>
      <c r="Q7" s="3">
        <v>1162</v>
      </c>
      <c r="R7" s="3">
        <v>1214</v>
      </c>
      <c r="S7" s="3" t="e">
        <f>+#REF!</f>
        <v>#REF!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121" x14ac:dyDescent="0.25">
      <c r="B8" s="7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121" x14ac:dyDescent="0.25">
      <c r="A9" t="s">
        <v>1</v>
      </c>
      <c r="B9" s="7" t="s">
        <v>46</v>
      </c>
      <c r="C9">
        <v>466</v>
      </c>
      <c r="D9">
        <v>440</v>
      </c>
      <c r="E9">
        <v>408</v>
      </c>
      <c r="F9">
        <v>386</v>
      </c>
      <c r="G9">
        <v>380</v>
      </c>
      <c r="H9">
        <v>385</v>
      </c>
      <c r="I9">
        <v>393</v>
      </c>
      <c r="J9">
        <v>411</v>
      </c>
      <c r="K9">
        <v>392</v>
      </c>
      <c r="L9" s="6">
        <v>349</v>
      </c>
      <c r="M9" s="6">
        <v>307</v>
      </c>
      <c r="N9" s="6">
        <v>269</v>
      </c>
      <c r="O9" s="6">
        <v>264</v>
      </c>
      <c r="P9" s="6">
        <v>262</v>
      </c>
      <c r="Q9" s="6">
        <v>284</v>
      </c>
      <c r="R9" s="6">
        <v>299</v>
      </c>
      <c r="S9" s="6" t="e">
        <f>ROUND(+#REF!/1.95583,0)</f>
        <v>#REF!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121" x14ac:dyDescent="0.25">
      <c r="B10" s="7"/>
      <c r="L10" s="6"/>
      <c r="M10" s="6"/>
      <c r="N10" s="6"/>
      <c r="O10" s="6"/>
      <c r="P10" s="6"/>
      <c r="Q10" s="6"/>
      <c r="R10" s="6"/>
      <c r="S10" s="6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121" s="41" customFormat="1" hidden="1" x14ac:dyDescent="0.25">
      <c r="A11" s="46" t="s">
        <v>37</v>
      </c>
      <c r="B11" s="44"/>
      <c r="C11" s="36">
        <v>0.38400000000000001</v>
      </c>
      <c r="D11" s="36">
        <v>0.371</v>
      </c>
      <c r="E11" s="36">
        <v>0.38400000000000001</v>
      </c>
      <c r="F11" s="36">
        <v>0.35799999999999998</v>
      </c>
      <c r="G11" s="36">
        <v>0.34100000000000003</v>
      </c>
      <c r="H11" s="36">
        <v>0.34300000000000003</v>
      </c>
      <c r="I11" s="36">
        <v>0.35</v>
      </c>
      <c r="J11" s="36">
        <v>0.35799999999999998</v>
      </c>
      <c r="K11" s="36">
        <v>0.35899999999999999</v>
      </c>
      <c r="L11" s="36">
        <v>0.376</v>
      </c>
      <c r="M11" s="36">
        <v>0.377</v>
      </c>
      <c r="N11" s="36">
        <f>(112487-4923)/268635</f>
        <v>0.40040947754387923</v>
      </c>
      <c r="O11" s="36">
        <f>(113406-5445)/264058</f>
        <v>0.40885335797438443</v>
      </c>
      <c r="P11" s="36">
        <f>(104250-3172)/251812</f>
        <v>0.40140263371086365</v>
      </c>
      <c r="Q11" s="36">
        <f>(111715-5328)/274382</f>
        <v>0.38773316033850619</v>
      </c>
      <c r="R11" s="36">
        <f>(116520-5618)/284003</f>
        <v>0.39049587504357347</v>
      </c>
      <c r="S11" s="36">
        <f>(123283-7309)/298812</f>
        <v>0.38811694309465483</v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121" hidden="1" x14ac:dyDescent="0.25">
      <c r="B12" s="7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121" x14ac:dyDescent="0.25">
      <c r="A13" t="s">
        <v>44</v>
      </c>
      <c r="B13" s="7" t="s">
        <v>46</v>
      </c>
      <c r="C13" s="42">
        <v>43.8</v>
      </c>
      <c r="D13" s="42">
        <v>38.299999999999997</v>
      </c>
      <c r="E13" s="42">
        <v>36.200000000000003</v>
      </c>
      <c r="F13" s="42">
        <f>18.2+11.3</f>
        <v>29.5</v>
      </c>
      <c r="G13" s="42">
        <f>10.3+11.2</f>
        <v>21.5</v>
      </c>
      <c r="H13" s="42">
        <f>14.9+11.1</f>
        <v>26</v>
      </c>
      <c r="I13" s="4">
        <f>17.7+12.1</f>
        <v>29.799999999999997</v>
      </c>
      <c r="J13" s="4">
        <f>20.9+11.6</f>
        <v>32.5</v>
      </c>
      <c r="K13" s="4">
        <v>32</v>
      </c>
      <c r="L13" s="4">
        <v>30.2</v>
      </c>
      <c r="M13" s="4">
        <v>27.4</v>
      </c>
      <c r="N13" s="4">
        <v>26.1</v>
      </c>
      <c r="O13" s="4">
        <v>25.8</v>
      </c>
      <c r="P13" s="4">
        <f>6</f>
        <v>6</v>
      </c>
      <c r="Q13" s="4">
        <f>10.9+8.3</f>
        <v>19.200000000000003</v>
      </c>
      <c r="R13" s="4">
        <f>14.5+8.9</f>
        <v>23.4</v>
      </c>
      <c r="S13" s="4" t="e">
        <f>ROUND(+#REF!/1.95583,1)</f>
        <v>#REF!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121" hidden="1" x14ac:dyDescent="0.25"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121" hidden="1" x14ac:dyDescent="0.25">
      <c r="A15" t="s">
        <v>19</v>
      </c>
      <c r="B15" s="7" t="s">
        <v>46</v>
      </c>
      <c r="C15" s="4">
        <v>11.3</v>
      </c>
      <c r="D15" s="4">
        <v>11.3</v>
      </c>
      <c r="E15" s="4">
        <v>11.3</v>
      </c>
      <c r="F15" s="4">
        <v>11.3</v>
      </c>
      <c r="G15" s="4">
        <v>11.2</v>
      </c>
      <c r="H15" s="4">
        <v>11.1</v>
      </c>
      <c r="I15" s="4">
        <v>12.1</v>
      </c>
      <c r="J15" s="4">
        <v>11.6</v>
      </c>
      <c r="K15" s="4">
        <v>11.2</v>
      </c>
      <c r="L15" s="4">
        <v>10.9</v>
      </c>
      <c r="M15" s="4">
        <v>10.8</v>
      </c>
      <c r="N15" s="4">
        <v>10.9</v>
      </c>
      <c r="O15" s="4">
        <v>10.4</v>
      </c>
      <c r="P15" s="4">
        <v>10.7</v>
      </c>
      <c r="Q15" s="4">
        <v>10.9</v>
      </c>
      <c r="R15" s="4">
        <v>14.5</v>
      </c>
      <c r="S15" s="4" t="e">
        <f>ROUND(+#REF!/1.95583,1)</f>
        <v>#REF!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121" x14ac:dyDescent="0.25">
      <c r="A16" t="s">
        <v>43</v>
      </c>
      <c r="B16" s="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B17" s="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idden="1" x14ac:dyDescent="0.25">
      <c r="A18" t="s">
        <v>42</v>
      </c>
      <c r="B18" s="7" t="s">
        <v>46</v>
      </c>
      <c r="C18" s="4">
        <v>31.6</v>
      </c>
      <c r="D18" s="4">
        <v>26.1</v>
      </c>
      <c r="E18" s="4">
        <v>24.8</v>
      </c>
      <c r="F18" s="4">
        <v>18.2</v>
      </c>
      <c r="G18" s="4">
        <f>+G13-G15</f>
        <v>10.3</v>
      </c>
      <c r="H18" s="4">
        <f>+H13-H15</f>
        <v>14.9</v>
      </c>
      <c r="I18" s="4">
        <f t="shared" ref="I18:N18" si="0">+I13-I15</f>
        <v>17.699999999999996</v>
      </c>
      <c r="J18" s="4">
        <f t="shared" si="0"/>
        <v>20.9</v>
      </c>
      <c r="K18" s="4">
        <f t="shared" si="0"/>
        <v>20.8</v>
      </c>
      <c r="L18" s="4">
        <f t="shared" si="0"/>
        <v>19.299999999999997</v>
      </c>
      <c r="M18" s="4">
        <f t="shared" si="0"/>
        <v>16.599999999999998</v>
      </c>
      <c r="N18" s="4">
        <f t="shared" si="0"/>
        <v>15.200000000000001</v>
      </c>
      <c r="O18" s="4">
        <v>15.4</v>
      </c>
      <c r="P18" s="4">
        <f>+P13-P15</f>
        <v>-4.6999999999999993</v>
      </c>
      <c r="Q18" s="4">
        <f>+Q13-Q15</f>
        <v>8.3000000000000025</v>
      </c>
      <c r="R18" s="4">
        <f>+R13-R15</f>
        <v>8.8999999999999986</v>
      </c>
      <c r="S18" s="4" t="e">
        <f>ROUND(+#REF!/1.95583,1)</f>
        <v>#REF!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idden="1" x14ac:dyDescent="0.25">
      <c r="A19" s="4"/>
      <c r="B19" s="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idden="1" x14ac:dyDescent="0.25">
      <c r="A20" t="s">
        <v>11</v>
      </c>
      <c r="B20" s="7"/>
      <c r="C20" s="2">
        <f t="shared" ref="C20:H20" si="1">ROUND(+C18/C9,3)</f>
        <v>6.8000000000000005E-2</v>
      </c>
      <c r="D20" s="2">
        <f t="shared" si="1"/>
        <v>5.8999999999999997E-2</v>
      </c>
      <c r="E20" s="2">
        <f t="shared" si="1"/>
        <v>6.0999999999999999E-2</v>
      </c>
      <c r="F20" s="2">
        <f t="shared" si="1"/>
        <v>4.7E-2</v>
      </c>
      <c r="G20" s="2">
        <f t="shared" si="1"/>
        <v>2.7E-2</v>
      </c>
      <c r="H20" s="2">
        <f t="shared" si="1"/>
        <v>3.9E-2</v>
      </c>
      <c r="I20" s="2">
        <f t="shared" ref="I20:N20" si="2">ROUND(+I18/I9,3)</f>
        <v>4.4999999999999998E-2</v>
      </c>
      <c r="J20" s="2">
        <f t="shared" si="2"/>
        <v>5.0999999999999997E-2</v>
      </c>
      <c r="K20" s="2">
        <f t="shared" si="2"/>
        <v>5.2999999999999999E-2</v>
      </c>
      <c r="L20" s="2">
        <f t="shared" si="2"/>
        <v>5.5E-2</v>
      </c>
      <c r="M20" s="2">
        <f t="shared" si="2"/>
        <v>5.3999999999999999E-2</v>
      </c>
      <c r="N20" s="2">
        <f t="shared" si="2"/>
        <v>5.7000000000000002E-2</v>
      </c>
      <c r="O20" s="2">
        <v>5.8000000000000003E-2</v>
      </c>
      <c r="P20" s="2">
        <f>ROUND(+P18/P9,3)</f>
        <v>-1.7999999999999999E-2</v>
      </c>
      <c r="Q20" s="2">
        <f>ROUND(+Q18/Q9,3)</f>
        <v>2.9000000000000001E-2</v>
      </c>
      <c r="R20" s="2">
        <f>ROUND(+R18/R9,3)</f>
        <v>0.03</v>
      </c>
      <c r="S20" s="2" t="e">
        <f>ROUND(+S18/S9,3)</f>
        <v>#REF!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idden="1" x14ac:dyDescent="0.25">
      <c r="A21" t="s">
        <v>12</v>
      </c>
      <c r="B21" s="7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idden="1" x14ac:dyDescent="0.25">
      <c r="B22" s="7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idden="1" x14ac:dyDescent="0.25">
      <c r="A23" t="s">
        <v>36</v>
      </c>
      <c r="B23" s="7" t="s">
        <v>46</v>
      </c>
      <c r="C23" s="42">
        <v>31.1</v>
      </c>
      <c r="D23" s="42">
        <v>25.3</v>
      </c>
      <c r="E23" s="42">
        <v>23.9</v>
      </c>
      <c r="F23" s="42">
        <v>15.9</v>
      </c>
      <c r="G23" s="42">
        <v>8.3000000000000007</v>
      </c>
      <c r="H23" s="4">
        <v>12.3</v>
      </c>
      <c r="I23" s="4">
        <v>14.2</v>
      </c>
      <c r="J23" s="4">
        <v>17.399999999999999</v>
      </c>
      <c r="K23" s="4">
        <v>17.7</v>
      </c>
      <c r="L23" s="4">
        <v>16.600000000000001</v>
      </c>
      <c r="M23" s="4">
        <v>14.6</v>
      </c>
      <c r="N23" s="4">
        <v>13.5</v>
      </c>
      <c r="O23" s="4">
        <v>12.9</v>
      </c>
      <c r="P23" s="4">
        <v>-7.4</v>
      </c>
      <c r="Q23" s="4">
        <v>5.2</v>
      </c>
      <c r="R23" s="4">
        <v>4.5999999999999996</v>
      </c>
      <c r="S23" s="4" t="e">
        <f>ROUND(+#REF!/1.95583,1)</f>
        <v>#REF!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idden="1" x14ac:dyDescent="0.25">
      <c r="A24" t="s">
        <v>35</v>
      </c>
      <c r="B24" s="7"/>
      <c r="C24" s="42"/>
      <c r="D24" s="42"/>
      <c r="E24" s="42"/>
      <c r="F24" s="42"/>
      <c r="G24" s="4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idden="1" x14ac:dyDescent="0.25">
      <c r="A25" s="4"/>
      <c r="B25" s="7"/>
      <c r="C25" s="42"/>
      <c r="D25" s="42"/>
      <c r="E25" s="42"/>
      <c r="F25" s="42"/>
      <c r="G25" s="4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idden="1" x14ac:dyDescent="0.25">
      <c r="A26" t="s">
        <v>2</v>
      </c>
      <c r="B26" s="7" t="s">
        <v>46</v>
      </c>
      <c r="C26" s="47">
        <v>9.5</v>
      </c>
      <c r="D26" s="47">
        <v>7.1</v>
      </c>
      <c r="E26" s="42">
        <v>6.6</v>
      </c>
      <c r="F26" s="42">
        <v>3.9</v>
      </c>
      <c r="G26" s="42">
        <f>3.4-1.2</f>
        <v>2.2000000000000002</v>
      </c>
      <c r="H26" s="4">
        <v>3.6</v>
      </c>
      <c r="I26" s="4">
        <f>4.6-0.2</f>
        <v>4.3999999999999995</v>
      </c>
      <c r="J26" s="4">
        <f>6.8-1.4</f>
        <v>5.4</v>
      </c>
      <c r="K26" s="4">
        <v>5.6</v>
      </c>
      <c r="L26" s="4">
        <v>4.4000000000000004</v>
      </c>
      <c r="M26" s="4">
        <v>4.2</v>
      </c>
      <c r="N26" s="4">
        <v>5.0999999999999996</v>
      </c>
      <c r="O26" s="4">
        <v>5.0999999999999996</v>
      </c>
      <c r="P26" s="4">
        <v>0</v>
      </c>
      <c r="Q26" s="4">
        <v>2.5</v>
      </c>
      <c r="R26" s="4">
        <v>1.6</v>
      </c>
      <c r="S26" s="4" t="e">
        <f>ROUND(+#REF!/1.95583,1)</f>
        <v>#REF!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idden="1" x14ac:dyDescent="0.25">
      <c r="B27" s="7"/>
      <c r="C27" s="42"/>
      <c r="D27" s="42"/>
      <c r="E27" s="42"/>
      <c r="F27" s="42"/>
      <c r="G27" s="4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t="s">
        <v>45</v>
      </c>
      <c r="B28" s="7" t="s">
        <v>46</v>
      </c>
      <c r="C28" s="42">
        <f>+C23-C26</f>
        <v>21.6</v>
      </c>
      <c r="D28" s="42">
        <f>+D23-D26</f>
        <v>18.200000000000003</v>
      </c>
      <c r="E28" s="42">
        <f t="shared" ref="E28:O28" si="3">+E23-E26</f>
        <v>17.299999999999997</v>
      </c>
      <c r="F28" s="42">
        <f t="shared" si="3"/>
        <v>12</v>
      </c>
      <c r="G28" s="42">
        <f t="shared" si="3"/>
        <v>6.1000000000000005</v>
      </c>
      <c r="H28" s="4">
        <f t="shared" si="3"/>
        <v>8.7000000000000011</v>
      </c>
      <c r="I28" s="4">
        <f t="shared" si="3"/>
        <v>9.8000000000000007</v>
      </c>
      <c r="J28" s="4">
        <f t="shared" si="3"/>
        <v>11.999999999999998</v>
      </c>
      <c r="K28" s="4">
        <f t="shared" si="3"/>
        <v>12.1</v>
      </c>
      <c r="L28" s="4">
        <f t="shared" si="3"/>
        <v>12.200000000000001</v>
      </c>
      <c r="M28" s="4">
        <f t="shared" si="3"/>
        <v>10.399999999999999</v>
      </c>
      <c r="N28" s="4">
        <f t="shared" si="3"/>
        <v>8.4</v>
      </c>
      <c r="O28" s="4">
        <f t="shared" si="3"/>
        <v>7.8000000000000007</v>
      </c>
      <c r="P28" s="4">
        <v>-7.7</v>
      </c>
      <c r="Q28" s="4">
        <v>2.2999999999999998</v>
      </c>
      <c r="R28" s="4">
        <v>2.8</v>
      </c>
      <c r="S28" s="4" t="e">
        <f>ROUND(+#REF!/1.95583,1)</f>
        <v>#REF!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B29" s="7"/>
      <c r="C29" s="42"/>
      <c r="D29" s="42"/>
      <c r="E29" s="42"/>
      <c r="F29" s="42"/>
      <c r="G29" s="4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idden="1" x14ac:dyDescent="0.25">
      <c r="A30" t="s">
        <v>38</v>
      </c>
      <c r="B30" s="7" t="s">
        <v>46</v>
      </c>
      <c r="C30" s="42">
        <v>35.299999999999997</v>
      </c>
      <c r="D30" s="42">
        <v>30.5</v>
      </c>
      <c r="E30" s="42">
        <v>27.1</v>
      </c>
      <c r="F30" s="42">
        <v>23.1</v>
      </c>
      <c r="G30" s="42">
        <v>18.5</v>
      </c>
      <c r="H30" s="4">
        <v>21.1</v>
      </c>
      <c r="I30" s="4">
        <v>21.8</v>
      </c>
      <c r="J30" s="4">
        <v>25.1</v>
      </c>
      <c r="K30" s="4">
        <v>25.7</v>
      </c>
      <c r="L30" s="4">
        <v>20</v>
      </c>
      <c r="M30" s="4">
        <v>17.600000000000001</v>
      </c>
      <c r="N30" s="4">
        <v>17.8</v>
      </c>
      <c r="O30" s="4">
        <v>24.8</v>
      </c>
      <c r="P30" s="4">
        <v>3.9</v>
      </c>
      <c r="Q30" s="4">
        <v>13.2</v>
      </c>
      <c r="R30" s="4">
        <v>17.600000000000001</v>
      </c>
      <c r="S30" s="4" t="e">
        <f>ROUND(+#REF!/1.95583,1)</f>
        <v>#REF!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idden="1" x14ac:dyDescent="0.25">
      <c r="B31" s="7"/>
      <c r="C31" s="42"/>
      <c r="D31" s="42"/>
      <c r="E31" s="42"/>
      <c r="F31" s="42"/>
      <c r="G31" s="4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t="s">
        <v>3</v>
      </c>
      <c r="B32" s="7" t="s">
        <v>46</v>
      </c>
      <c r="C32" s="42">
        <v>26</v>
      </c>
      <c r="D32" s="42">
        <v>14.1</v>
      </c>
      <c r="E32" s="42">
        <v>16.3</v>
      </c>
      <c r="F32" s="42">
        <v>8.4</v>
      </c>
      <c r="G32" s="42">
        <v>7.8</v>
      </c>
      <c r="H32" s="4">
        <v>8.6</v>
      </c>
      <c r="I32" s="4">
        <v>10.7</v>
      </c>
      <c r="J32" s="42">
        <v>12.1</v>
      </c>
      <c r="K32" s="4">
        <v>25.7</v>
      </c>
      <c r="L32" s="4">
        <v>20</v>
      </c>
      <c r="M32" s="4">
        <v>7.7</v>
      </c>
      <c r="N32" s="4">
        <v>5.8</v>
      </c>
      <c r="O32" s="4">
        <v>6.6</v>
      </c>
      <c r="P32" s="4">
        <v>6.4</v>
      </c>
      <c r="Q32" s="4">
        <v>8.4</v>
      </c>
      <c r="R32" s="4">
        <v>8.6</v>
      </c>
      <c r="S32" s="4" t="e">
        <f>ROUND(+#REF!/1.95583,1)</f>
        <v>#REF!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120" x14ac:dyDescent="0.25">
      <c r="B33" s="7"/>
      <c r="C33" s="42"/>
      <c r="D33" s="42"/>
      <c r="E33" s="4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120" x14ac:dyDescent="0.25">
      <c r="A34" t="s">
        <v>6</v>
      </c>
      <c r="B34" s="7" t="s">
        <v>16</v>
      </c>
      <c r="C34" s="38">
        <v>6812598</v>
      </c>
      <c r="D34" s="38">
        <v>6812598</v>
      </c>
      <c r="E34" s="38">
        <v>6812598</v>
      </c>
      <c r="F34" s="38">
        <v>6812598</v>
      </c>
      <c r="G34" s="38">
        <v>6695900</v>
      </c>
      <c r="H34" s="38">
        <v>6609188</v>
      </c>
      <c r="I34" s="38">
        <v>6531457</v>
      </c>
      <c r="J34" s="38">
        <v>6450833</v>
      </c>
      <c r="K34" s="3">
        <v>6413386</v>
      </c>
      <c r="L34" s="3">
        <v>6373673</v>
      </c>
      <c r="M34" s="3">
        <v>6338389</v>
      </c>
      <c r="N34" s="3">
        <v>6303316</v>
      </c>
      <c r="O34" s="3">
        <v>6277965</v>
      </c>
      <c r="P34" s="3">
        <v>6265203</v>
      </c>
      <c r="Q34" s="3">
        <v>6254233</v>
      </c>
      <c r="R34" s="3">
        <v>6244241</v>
      </c>
      <c r="S34" s="3" t="e">
        <f ca="1">[1]!euroconvert(+#REF!,"DEM","DEM")</f>
        <v>#NAME?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</row>
    <row r="35" spans="1:120" x14ac:dyDescent="0.25">
      <c r="B35" s="7"/>
      <c r="C35" s="41"/>
      <c r="D35" s="41"/>
      <c r="E35" s="41"/>
      <c r="F35" s="41"/>
      <c r="G35" s="41"/>
      <c r="H35" s="41"/>
      <c r="I35" s="41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120" x14ac:dyDescent="0.25">
      <c r="A36" t="s">
        <v>4</v>
      </c>
      <c r="B36" s="7" t="s">
        <v>47</v>
      </c>
      <c r="C36" s="49">
        <f>ROUND(+(C34-C94)*C38/1000,0)*1</f>
        <v>10203</v>
      </c>
      <c r="D36" s="49">
        <f>ROUND(+(D34-D94)*D38/1000,0)*1</f>
        <v>9234</v>
      </c>
      <c r="E36" s="38">
        <f>ROUND(+(E34-E94)*E38/1000,0)*1</f>
        <v>9247</v>
      </c>
      <c r="F36" s="38">
        <f>ROUND(+F34*F38/1000,0)</f>
        <v>6813</v>
      </c>
      <c r="G36" s="38">
        <f>ROUND(+G34*G38/1000,0)</f>
        <v>5022</v>
      </c>
      <c r="H36" s="38">
        <f>ROUND(+H34*H38/1000,0)</f>
        <v>4957</v>
      </c>
      <c r="I36" s="38">
        <f t="shared" ref="I36:N36" si="4">ROUND(+I34*I38/1000,0)</f>
        <v>4899</v>
      </c>
      <c r="J36" s="38">
        <f t="shared" si="4"/>
        <v>4838</v>
      </c>
      <c r="K36" s="38">
        <f t="shared" si="4"/>
        <v>4810</v>
      </c>
      <c r="L36" s="38">
        <f t="shared" si="4"/>
        <v>4207</v>
      </c>
      <c r="M36" s="38">
        <f t="shared" si="4"/>
        <v>3803</v>
      </c>
      <c r="N36" s="38">
        <f t="shared" si="4"/>
        <v>3152</v>
      </c>
      <c r="O36" s="3">
        <f>+O34*0.2/1000</f>
        <v>1255.5930000000001</v>
      </c>
      <c r="P36" s="3">
        <v>0</v>
      </c>
      <c r="Q36" s="3">
        <v>2502</v>
      </c>
      <c r="R36" s="3">
        <v>2498</v>
      </c>
      <c r="S36" s="3" t="e">
        <f>ROUND(+#REF!/1.95583,1)</f>
        <v>#REF!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120" x14ac:dyDescent="0.25">
      <c r="B37" s="7"/>
      <c r="C37" s="41"/>
      <c r="D37" s="41"/>
      <c r="E37" s="41"/>
      <c r="F37" s="41"/>
      <c r="G37" s="41"/>
      <c r="H37" s="41"/>
      <c r="I37" s="41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120" x14ac:dyDescent="0.25">
      <c r="A38" t="s">
        <v>5</v>
      </c>
      <c r="B38" s="7" t="s">
        <v>17</v>
      </c>
      <c r="C38" s="39">
        <v>1.5</v>
      </c>
      <c r="D38" s="39">
        <v>1.36</v>
      </c>
      <c r="E38" s="39">
        <v>1.36</v>
      </c>
      <c r="F38" s="39">
        <v>1</v>
      </c>
      <c r="G38" s="39">
        <v>0.75</v>
      </c>
      <c r="H38" s="39">
        <v>0.75</v>
      </c>
      <c r="I38" s="39">
        <v>0.75</v>
      </c>
      <c r="J38" s="39">
        <v>0.75</v>
      </c>
      <c r="K38" s="5">
        <v>0.75</v>
      </c>
      <c r="L38" s="5">
        <v>0.66</v>
      </c>
      <c r="M38" s="5">
        <v>0.6</v>
      </c>
      <c r="N38" s="5">
        <v>0.5</v>
      </c>
      <c r="O38" s="5">
        <f>ROUND(+O36*1000/O34,2)</f>
        <v>0.2</v>
      </c>
      <c r="P38" s="5">
        <f>ROUND(+P36*1000/P34,2)</f>
        <v>0</v>
      </c>
      <c r="Q38" s="5">
        <f>ROUND(+Q36*1000/Q34,2)</f>
        <v>0.4</v>
      </c>
      <c r="R38" s="5">
        <f>ROUND(+R36*1000/R34,2)</f>
        <v>0.4</v>
      </c>
      <c r="S38" s="5" t="e">
        <f>ROUND(+#REF!/1.95583,2)</f>
        <v>#REF!</v>
      </c>
      <c r="T38" s="5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20" x14ac:dyDescent="0.25">
      <c r="B39" s="7"/>
      <c r="C39" s="39"/>
      <c r="D39" s="39"/>
      <c r="E39" s="3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20" x14ac:dyDescent="0.25">
      <c r="A40" t="s">
        <v>32</v>
      </c>
      <c r="B40" s="7" t="s">
        <v>17</v>
      </c>
      <c r="C40" s="48">
        <v>3.17</v>
      </c>
      <c r="D40" s="48">
        <v>2.67</v>
      </c>
      <c r="E40" s="39">
        <v>2.5299999999999998</v>
      </c>
      <c r="F40" s="39">
        <v>1.8</v>
      </c>
      <c r="G40" s="39">
        <v>0.92</v>
      </c>
      <c r="H40" s="39">
        <v>1.33</v>
      </c>
      <c r="I40" s="39">
        <v>1.52</v>
      </c>
      <c r="J40" s="39">
        <v>1.87</v>
      </c>
      <c r="K40" s="5">
        <v>1.89</v>
      </c>
      <c r="L40" s="5">
        <v>1.93</v>
      </c>
      <c r="M40" s="5">
        <v>1.64</v>
      </c>
      <c r="N40" s="5">
        <v>1.33</v>
      </c>
      <c r="O40" s="5">
        <v>1.24</v>
      </c>
      <c r="P40" s="5">
        <v>-1.23</v>
      </c>
      <c r="Q40" s="5"/>
      <c r="R40" s="5"/>
      <c r="S40" s="5"/>
      <c r="T40" s="5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20" x14ac:dyDescent="0.25">
      <c r="B41" s="7"/>
      <c r="C41" s="39"/>
      <c r="D41" s="39"/>
      <c r="E41" s="3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20" x14ac:dyDescent="0.25">
      <c r="A42" t="s">
        <v>7</v>
      </c>
      <c r="B42" s="7" t="s">
        <v>46</v>
      </c>
      <c r="C42" s="42">
        <v>89.7</v>
      </c>
      <c r="D42" s="42">
        <v>76.5</v>
      </c>
      <c r="E42" s="42">
        <v>75.400000000000006</v>
      </c>
      <c r="F42" s="4">
        <v>71.099999999999994</v>
      </c>
      <c r="G42" s="4">
        <v>75.099999999999994</v>
      </c>
      <c r="H42" s="4">
        <v>76.8</v>
      </c>
      <c r="I42" s="4">
        <v>81.5</v>
      </c>
      <c r="J42" s="4">
        <v>82.9</v>
      </c>
      <c r="K42" s="4">
        <v>88.4</v>
      </c>
      <c r="L42" s="4">
        <v>75.900000000000006</v>
      </c>
      <c r="M42" s="4">
        <v>66.7</v>
      </c>
      <c r="N42" s="4">
        <v>68.8</v>
      </c>
      <c r="O42" s="4">
        <v>73.7</v>
      </c>
      <c r="P42" s="4">
        <v>57.3</v>
      </c>
      <c r="Q42" s="4">
        <v>63.8</v>
      </c>
      <c r="R42" s="4">
        <v>66.3</v>
      </c>
      <c r="S42" s="4" t="e">
        <f>ROUND(+#REF!/1.95583,1)</f>
        <v>#REF!</v>
      </c>
      <c r="T42" s="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120" x14ac:dyDescent="0.25">
      <c r="B43" s="7"/>
      <c r="C43" s="42"/>
      <c r="D43" s="42"/>
      <c r="E43" s="4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120" x14ac:dyDescent="0.25">
      <c r="A44" t="s">
        <v>8</v>
      </c>
      <c r="B44" s="7" t="s">
        <v>46</v>
      </c>
      <c r="C44" s="4">
        <v>181.8</v>
      </c>
      <c r="D44" s="4">
        <v>168.2</v>
      </c>
      <c r="E44" s="4">
        <v>159.69999999999999</v>
      </c>
      <c r="F44" s="4">
        <v>150.9</v>
      </c>
      <c r="G44" s="4">
        <v>147.19999999999999</v>
      </c>
      <c r="H44" s="4">
        <v>144.80000000000001</v>
      </c>
      <c r="I44" s="4">
        <v>144</v>
      </c>
      <c r="J44" s="4">
        <v>140.19999999999999</v>
      </c>
      <c r="K44" s="4">
        <v>148.9</v>
      </c>
      <c r="L44" s="4">
        <v>129.1</v>
      </c>
      <c r="M44" s="4">
        <f>174-66.7</f>
        <v>107.3</v>
      </c>
      <c r="N44" s="4">
        <v>95</v>
      </c>
      <c r="O44" s="4">
        <v>61.4</v>
      </c>
      <c r="P44" s="4">
        <v>59.8</v>
      </c>
      <c r="Q44" s="4">
        <v>68.400000000000006</v>
      </c>
      <c r="R44" s="4">
        <v>63.7</v>
      </c>
      <c r="S44" s="4" t="e">
        <f>ROUND(+#REF!/1.95583,1)</f>
        <v>#REF!</v>
      </c>
      <c r="T44" s="4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120" x14ac:dyDescent="0.25">
      <c r="B45" s="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120" x14ac:dyDescent="0.25">
      <c r="A46" t="s">
        <v>9</v>
      </c>
      <c r="B46" s="7" t="s">
        <v>46</v>
      </c>
      <c r="C46" s="42">
        <v>145.69999999999999</v>
      </c>
      <c r="D46" s="42">
        <v>134.69999999999999</v>
      </c>
      <c r="E46" s="42">
        <v>125.7</v>
      </c>
      <c r="F46" s="42">
        <v>116.6</v>
      </c>
      <c r="G46" s="4">
        <v>108.36199999999999</v>
      </c>
      <c r="H46" s="4">
        <v>105</v>
      </c>
      <c r="I46" s="4">
        <f>101.2</f>
        <v>101.2</v>
      </c>
      <c r="J46" s="4">
        <v>94.8</v>
      </c>
      <c r="K46" s="4">
        <v>86.953999999999994</v>
      </c>
      <c r="L46" s="4">
        <v>80.2</v>
      </c>
      <c r="M46" s="4">
        <v>70.400000000000006</v>
      </c>
      <c r="N46" s="4">
        <v>62.7</v>
      </c>
      <c r="O46" s="4">
        <v>55.125</v>
      </c>
      <c r="P46" s="4">
        <f>27.789*0+31.5</f>
        <v>31.5</v>
      </c>
      <c r="Q46" s="4">
        <f>38.2*0+39.8</f>
        <v>39.799999999999997</v>
      </c>
      <c r="R46" s="4">
        <f>38.7*0+41</f>
        <v>41</v>
      </c>
      <c r="S46" s="4" t="e">
        <f>ROUND(+#REF!/1.95583,1)*0+41.8</f>
        <v>#REF!</v>
      </c>
      <c r="T46" s="4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120" x14ac:dyDescent="0.25">
      <c r="B47" s="7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120" x14ac:dyDescent="0.25">
      <c r="A48" t="s">
        <v>10</v>
      </c>
      <c r="B48" s="7"/>
      <c r="C48" s="51">
        <f>ROUND(+(C46)/(+C67),3)</f>
        <v>0.53700000000000003</v>
      </c>
      <c r="D48" s="51">
        <f>ROUND(+(D46)/(+D67),3)+0.001</f>
        <v>0.55100000000000005</v>
      </c>
      <c r="E48" s="2">
        <f>ROUND(+(E46)/(+E67),3)</f>
        <v>0.53500000000000003</v>
      </c>
      <c r="F48" s="2">
        <f>ROUND(+(F46)/(+F67),3)</f>
        <v>0.52500000000000002</v>
      </c>
      <c r="G48" s="2">
        <f>ROUND(+(G46)/(+G67),3)</f>
        <v>0.48699999999999999</v>
      </c>
      <c r="H48" s="2">
        <f>ROUND(+(H46)/(+H67),3)</f>
        <v>0.47399999999999998</v>
      </c>
      <c r="I48" s="2">
        <f>ROUND(+(I46)/(+I67),3)</f>
        <v>0.44900000000000001</v>
      </c>
      <c r="J48" s="2">
        <f t="shared" ref="J48:O48" si="5">ROUND(+(J46)/(+J67),3)</f>
        <v>0.42499999999999999</v>
      </c>
      <c r="K48" s="2">
        <f t="shared" si="5"/>
        <v>0.36599999999999999</v>
      </c>
      <c r="L48" s="2">
        <f t="shared" si="5"/>
        <v>0.39100000000000001</v>
      </c>
      <c r="M48" s="2">
        <f t="shared" si="5"/>
        <v>0.40500000000000003</v>
      </c>
      <c r="N48" s="2">
        <f t="shared" si="5"/>
        <v>0.38100000000000001</v>
      </c>
      <c r="O48" s="2">
        <f t="shared" si="5"/>
        <v>0.34300000000000003</v>
      </c>
      <c r="P48" s="2">
        <f>ROUND(+(P46)/(+P67),3)-0.001</f>
        <v>0.221</v>
      </c>
      <c r="Q48" s="2">
        <f>ROUND(+(Q46)/(+Q67),3)</f>
        <v>0.255</v>
      </c>
      <c r="R48" s="2">
        <f>ROUND(+(R46)/(+R67),3)</f>
        <v>0.252</v>
      </c>
      <c r="S48" s="2" t="e">
        <f>ROUND(+(S46)/(+S67),3)</f>
        <v>#REF!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B49" s="7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t="s">
        <v>20</v>
      </c>
      <c r="B50" s="7" t="s">
        <v>46</v>
      </c>
      <c r="C50" s="4">
        <f>17.7+9.9</f>
        <v>27.6</v>
      </c>
      <c r="D50" s="4">
        <f>12.3+20.9</f>
        <v>33.200000000000003</v>
      </c>
      <c r="E50" s="4">
        <f>18.1+11.3</f>
        <v>29.400000000000002</v>
      </c>
      <c r="F50" s="4">
        <f>24.2+14.9</f>
        <v>39.1</v>
      </c>
      <c r="G50" s="4">
        <f>30.3+19.7</f>
        <v>50</v>
      </c>
      <c r="H50" s="4">
        <f>34.1+21.2</f>
        <v>55.3</v>
      </c>
      <c r="I50" s="4">
        <f>43.4+20.2</f>
        <v>63.599999999999994</v>
      </c>
      <c r="J50" s="4">
        <f>58.7+18</f>
        <v>76.7</v>
      </c>
      <c r="K50" s="4">
        <f>40.8+45.5</f>
        <v>86.3</v>
      </c>
      <c r="L50">
        <f>21.7+47.9</f>
        <v>69.599999999999994</v>
      </c>
      <c r="M50">
        <f>8.8+40.7</f>
        <v>49.5</v>
      </c>
      <c r="N50">
        <f>11+33.5</f>
        <v>44.5</v>
      </c>
      <c r="O50">
        <v>28.8</v>
      </c>
      <c r="P50">
        <v>42.7</v>
      </c>
      <c r="Q50">
        <v>42.5</v>
      </c>
      <c r="R50">
        <v>46.8</v>
      </c>
      <c r="S50" s="4" t="e">
        <f>ROUND(+#REF!/1.95583,1)</f>
        <v>#REF!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B51" s="7"/>
      <c r="S51" s="4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6" x14ac:dyDescent="0.25">
      <c r="A52" s="50" t="s">
        <v>48</v>
      </c>
      <c r="B52" s="7"/>
      <c r="C52" s="2">
        <f t="shared" ref="C52:K52" si="6">(+C50)/C67</f>
        <v>0.10165745856353592</v>
      </c>
      <c r="D52" s="2">
        <f t="shared" ref="D52:I52" si="7">(+D50)/D67</f>
        <v>0.13567633837351861</v>
      </c>
      <c r="E52" s="2">
        <f t="shared" si="7"/>
        <v>0.12505316886431306</v>
      </c>
      <c r="F52" s="2">
        <f t="shared" si="7"/>
        <v>0.17612612612612613</v>
      </c>
      <c r="G52" s="2">
        <f t="shared" si="7"/>
        <v>0.22492127755285651</v>
      </c>
      <c r="H52" s="2">
        <f t="shared" si="7"/>
        <v>0.24954873646209383</v>
      </c>
      <c r="I52" s="2">
        <f t="shared" si="7"/>
        <v>0.28203991130820394</v>
      </c>
      <c r="J52" s="2">
        <f t="shared" si="6"/>
        <v>0.3437920215150157</v>
      </c>
      <c r="K52" s="2">
        <f t="shared" si="6"/>
        <v>0.36372525467089817</v>
      </c>
      <c r="L52" s="2">
        <f t="shared" ref="L52:S52" si="8">(+L50)/L67</f>
        <v>0.33951219512195119</v>
      </c>
      <c r="M52" s="2">
        <f t="shared" si="8"/>
        <v>0.28448275862068967</v>
      </c>
      <c r="N52" s="2">
        <f t="shared" si="8"/>
        <v>0.27035236938031593</v>
      </c>
      <c r="O52" s="2">
        <f t="shared" si="8"/>
        <v>0.17899427591221823</v>
      </c>
      <c r="P52" s="2">
        <f t="shared" si="8"/>
        <v>0.30042284339315994</v>
      </c>
      <c r="Q52" s="2">
        <f t="shared" si="8"/>
        <v>0.27281013698278406</v>
      </c>
      <c r="R52" s="2">
        <f t="shared" si="8"/>
        <v>0.28821283409286858</v>
      </c>
      <c r="S52" s="2" t="e">
        <f t="shared" si="8"/>
        <v>#REF!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B53" s="7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5.6" x14ac:dyDescent="0.25">
      <c r="A54" s="50" t="s">
        <v>49</v>
      </c>
      <c r="B54" s="7"/>
      <c r="C54" s="2">
        <f t="shared" ref="C54:M54" si="9">ROUND(+(C18)/((+D81+C81)/2),3)</f>
        <v>0.155</v>
      </c>
      <c r="D54" s="2">
        <f t="shared" si="9"/>
        <v>0.13700000000000001</v>
      </c>
      <c r="E54" s="2">
        <f t="shared" si="9"/>
        <v>0.13800000000000001</v>
      </c>
      <c r="F54" s="2">
        <f t="shared" si="9"/>
        <v>0.10100000000000001</v>
      </c>
      <c r="G54" s="2">
        <f t="shared" si="9"/>
        <v>5.7000000000000002E-2</v>
      </c>
      <c r="H54" s="2">
        <f t="shared" si="9"/>
        <v>8.2000000000000003E-2</v>
      </c>
      <c r="I54" s="2">
        <f t="shared" si="9"/>
        <v>9.2999999999999999E-2</v>
      </c>
      <c r="J54" s="2">
        <f t="shared" si="9"/>
        <v>0.108</v>
      </c>
      <c r="K54" s="2">
        <f t="shared" si="9"/>
        <v>0.114</v>
      </c>
      <c r="L54" s="2">
        <f t="shared" si="9"/>
        <v>0.122</v>
      </c>
      <c r="M54" s="2">
        <f t="shared" si="9"/>
        <v>0.11700000000000001</v>
      </c>
      <c r="N54" s="2">
        <f>ROUND(+(N18)/((+O69+N81)/2),3)</f>
        <v>0.109</v>
      </c>
      <c r="O54" s="36">
        <v>0.123</v>
      </c>
      <c r="P54" s="2">
        <v>-3.5999999999999997E-2</v>
      </c>
      <c r="Q54" s="2">
        <f>ROUND(+(Q18)/((+R81+Q81)/2),3)</f>
        <v>5.8999999999999997E-2</v>
      </c>
      <c r="R54" s="2" t="e">
        <f>ROUND(+(R18)/((+S81+R81)/2),3)</f>
        <v>#REF!</v>
      </c>
      <c r="S54" s="2" t="e">
        <f>ROUND(+(S18)/((128.1+S81)/2),3)</f>
        <v>#REF!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" t="s">
        <v>14</v>
      </c>
      <c r="B55" s="7"/>
      <c r="O55" s="37" t="s">
        <v>31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B56" s="7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idden="1" x14ac:dyDescent="0.25">
      <c r="A57" t="s">
        <v>15</v>
      </c>
      <c r="B57" s="7"/>
      <c r="C57" s="2">
        <f>ROUND(+(C28+C26)/(C46),3)</f>
        <v>0.21299999999999999</v>
      </c>
      <c r="D57" s="2">
        <f>ROUND(+(D28+D26)/(D46),3)</f>
        <v>0.188</v>
      </c>
      <c r="E57" s="2">
        <f>ROUND(+(E28+E26)/(E46),3)</f>
        <v>0.19</v>
      </c>
      <c r="F57" s="2">
        <f>ROUND(+(F28+F26)/(F46),3)</f>
        <v>0.13600000000000001</v>
      </c>
      <c r="G57" s="2">
        <f t="shared" ref="G57:K57" si="10">ROUND(+(G28+G26)/(G46),3)</f>
        <v>7.6999999999999999E-2</v>
      </c>
      <c r="H57" s="2">
        <f t="shared" si="10"/>
        <v>0.11700000000000001</v>
      </c>
      <c r="I57" s="2">
        <f t="shared" si="10"/>
        <v>0.14000000000000001</v>
      </c>
      <c r="J57" s="2">
        <f t="shared" si="10"/>
        <v>0.184</v>
      </c>
      <c r="K57" s="2">
        <f t="shared" si="10"/>
        <v>0.20399999999999999</v>
      </c>
      <c r="L57" s="2">
        <f t="shared" ref="L57:R57" si="11">ROUND(+(L28+L26)/(L46),3)</f>
        <v>0.20699999999999999</v>
      </c>
      <c r="M57" s="2">
        <f t="shared" si="11"/>
        <v>0.20699999999999999</v>
      </c>
      <c r="N57" s="2">
        <f t="shared" si="11"/>
        <v>0.215</v>
      </c>
      <c r="O57" s="2">
        <f t="shared" si="11"/>
        <v>0.23400000000000001</v>
      </c>
      <c r="P57" s="2">
        <f t="shared" si="11"/>
        <v>-0.24399999999999999</v>
      </c>
      <c r="Q57" s="2">
        <f t="shared" si="11"/>
        <v>0.121</v>
      </c>
      <c r="R57" s="2">
        <f t="shared" si="11"/>
        <v>0.107</v>
      </c>
      <c r="S57" s="2" t="e">
        <f>ROUND(+(S28+S26)/(S46),3)</f>
        <v>#REF!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idden="1" x14ac:dyDescent="0.25">
      <c r="B58" s="7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idden="1" x14ac:dyDescent="0.25">
      <c r="B59" s="7"/>
      <c r="C59" s="5"/>
      <c r="D59" s="5"/>
      <c r="E59" s="5"/>
      <c r="F59" s="5"/>
      <c r="G59" s="5"/>
      <c r="H59" s="5"/>
      <c r="I59" s="5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idden="1" x14ac:dyDescent="0.25">
      <c r="B60" s="7"/>
      <c r="C60" s="45"/>
      <c r="D60" s="45"/>
      <c r="E60" s="45"/>
      <c r="F60" s="45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idden="1" x14ac:dyDescent="0.25">
      <c r="B61" s="7"/>
    </row>
    <row r="62" spans="1:31" hidden="1" x14ac:dyDescent="0.25">
      <c r="B62" s="7"/>
      <c r="R62" s="4"/>
    </row>
    <row r="63" spans="1:31" hidden="1" x14ac:dyDescent="0.25">
      <c r="B63" s="7"/>
      <c r="O63" s="7" t="s">
        <v>26</v>
      </c>
    </row>
    <row r="64" spans="1:31" hidden="1" x14ac:dyDescent="0.25">
      <c r="B64" s="7"/>
    </row>
    <row r="65" spans="1:20" hidden="1" x14ac:dyDescent="0.25">
      <c r="A65" t="s">
        <v>21</v>
      </c>
      <c r="B65" s="7"/>
      <c r="C65" s="9">
        <f t="shared" ref="C65:H65" si="12">+C42+C44-C66</f>
        <v>266.2</v>
      </c>
      <c r="D65" s="9">
        <f t="shared" si="12"/>
        <v>230.39999999999998</v>
      </c>
      <c r="E65" s="9">
        <f t="shared" si="12"/>
        <v>229.79999999999998</v>
      </c>
      <c r="F65" s="9">
        <f t="shared" si="12"/>
        <v>217</v>
      </c>
      <c r="G65" s="9">
        <f t="shared" si="12"/>
        <v>212.29999999999998</v>
      </c>
      <c r="H65" s="9">
        <f t="shared" si="12"/>
        <v>211.60000000000002</v>
      </c>
      <c r="I65" s="9">
        <f>225.5-10</f>
        <v>215.5</v>
      </c>
      <c r="J65" s="9">
        <f>223.1-11</f>
        <v>212.1</v>
      </c>
      <c r="K65" s="9">
        <f>237.267-25</f>
        <v>212.267</v>
      </c>
      <c r="L65" s="9">
        <f>205-25</f>
        <v>180</v>
      </c>
      <c r="M65" s="9">
        <f>174-25</f>
        <v>149</v>
      </c>
      <c r="N65" s="9">
        <v>164.6</v>
      </c>
      <c r="O65" s="9">
        <v>135.9</v>
      </c>
      <c r="P65" s="9">
        <v>117.51600000000001</v>
      </c>
      <c r="Q65" s="9">
        <v>133.066</v>
      </c>
      <c r="R65" s="9">
        <v>130.761</v>
      </c>
      <c r="S65" s="9" t="e">
        <f>ROUND(+#REF!/1.95583,1)</f>
        <v>#REF!</v>
      </c>
      <c r="T65" s="9"/>
    </row>
    <row r="66" spans="1:20" hidden="1" x14ac:dyDescent="0.25">
      <c r="A66" t="s">
        <v>23</v>
      </c>
      <c r="B66" s="7"/>
      <c r="C66" s="40">
        <v>5.3</v>
      </c>
      <c r="D66" s="40">
        <v>14.3</v>
      </c>
      <c r="E66" s="40">
        <v>5.3</v>
      </c>
      <c r="F66" s="40">
        <v>5</v>
      </c>
      <c r="G66" s="40">
        <v>10</v>
      </c>
      <c r="H66" s="40">
        <v>10</v>
      </c>
      <c r="I66" s="40">
        <v>10</v>
      </c>
      <c r="J66" s="9">
        <v>11</v>
      </c>
      <c r="K66" s="9">
        <v>25</v>
      </c>
      <c r="L66" s="9">
        <v>25</v>
      </c>
      <c r="M66" s="9">
        <v>25</v>
      </c>
      <c r="N66" s="9">
        <v>0</v>
      </c>
      <c r="O66" s="9">
        <v>24.998999999999999</v>
      </c>
      <c r="P66" s="9">
        <v>24.617000000000001</v>
      </c>
      <c r="Q66" s="9">
        <v>22.72</v>
      </c>
      <c r="R66" s="9">
        <v>31.619</v>
      </c>
      <c r="S66" s="9">
        <v>23.954000000000001</v>
      </c>
      <c r="T66" s="9"/>
    </row>
    <row r="67" spans="1:20" hidden="1" x14ac:dyDescent="0.25">
      <c r="B67" s="7"/>
      <c r="C67" s="9">
        <f>SUM(C65:C66)</f>
        <v>271.5</v>
      </c>
      <c r="D67" s="9">
        <f>SUM(D65:D66)</f>
        <v>244.7</v>
      </c>
      <c r="E67" s="9">
        <f t="shared" ref="E67:R67" si="13">SUM(E65:E66)</f>
        <v>235.1</v>
      </c>
      <c r="F67" s="9">
        <f t="shared" si="13"/>
        <v>222</v>
      </c>
      <c r="G67" s="9">
        <f t="shared" si="13"/>
        <v>222.29999999999998</v>
      </c>
      <c r="H67" s="9">
        <f t="shared" si="13"/>
        <v>221.60000000000002</v>
      </c>
      <c r="I67" s="9">
        <f t="shared" si="13"/>
        <v>225.5</v>
      </c>
      <c r="J67" s="9">
        <f t="shared" si="13"/>
        <v>223.1</v>
      </c>
      <c r="K67" s="9">
        <f t="shared" si="13"/>
        <v>237.267</v>
      </c>
      <c r="L67" s="9">
        <f t="shared" si="13"/>
        <v>205</v>
      </c>
      <c r="M67" s="9">
        <f t="shared" si="13"/>
        <v>174</v>
      </c>
      <c r="N67" s="9">
        <f t="shared" si="13"/>
        <v>164.6</v>
      </c>
      <c r="O67" s="9">
        <f t="shared" si="13"/>
        <v>160.899</v>
      </c>
      <c r="P67" s="9">
        <f t="shared" si="13"/>
        <v>142.13300000000001</v>
      </c>
      <c r="Q67" s="9">
        <f t="shared" si="13"/>
        <v>155.786</v>
      </c>
      <c r="R67" s="9">
        <f t="shared" si="13"/>
        <v>162.38</v>
      </c>
      <c r="S67" s="9" t="e">
        <f>ROUND(+#REF!/1.95583,1)</f>
        <v>#REF!</v>
      </c>
      <c r="T67" s="9"/>
    </row>
    <row r="68" spans="1:20" hidden="1" x14ac:dyDescent="0.25">
      <c r="A68" s="12" t="s">
        <v>28</v>
      </c>
      <c r="B68" s="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>
        <v>19</v>
      </c>
      <c r="P68" s="9"/>
      <c r="Q68" s="9"/>
      <c r="R68" s="9"/>
      <c r="S68" s="9"/>
      <c r="T68" s="9"/>
    </row>
    <row r="69" spans="1:20" hidden="1" x14ac:dyDescent="0.25">
      <c r="A69" s="24" t="s">
        <v>24</v>
      </c>
      <c r="B69" s="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>
        <f>+O67-O68</f>
        <v>141.899</v>
      </c>
      <c r="P69" s="9"/>
      <c r="Q69" s="9"/>
      <c r="R69" s="9"/>
      <c r="S69" s="9"/>
      <c r="T69" s="9"/>
    </row>
    <row r="70" spans="1:20" hidden="1" x14ac:dyDescent="0.25">
      <c r="B70" s="7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idden="1" x14ac:dyDescent="0.25">
      <c r="A71" t="s">
        <v>22</v>
      </c>
      <c r="B71" s="7"/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6.1429999999999998</v>
      </c>
      <c r="Q71" s="9">
        <v>6.7359999999999998</v>
      </c>
      <c r="R71" s="9">
        <v>7.8339999999999996</v>
      </c>
      <c r="S71" s="9" t="e">
        <f>ROUND(+#REF!/1.95583,1)</f>
        <v>#REF!</v>
      </c>
      <c r="T71" s="9"/>
    </row>
    <row r="72" spans="1:20" hidden="1" x14ac:dyDescent="0.25">
      <c r="B72" s="7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hidden="1" x14ac:dyDescent="0.25">
      <c r="A73" s="13"/>
      <c r="B73" s="14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6"/>
      <c r="O73" s="16"/>
      <c r="P73" s="16"/>
      <c r="Q73" s="16"/>
      <c r="R73" s="16"/>
      <c r="S73" s="16"/>
      <c r="T73" s="9"/>
    </row>
    <row r="74" spans="1:20" hidden="1" x14ac:dyDescent="0.25">
      <c r="A74" s="12" t="s">
        <v>27</v>
      </c>
      <c r="B74" s="18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0"/>
      <c r="O74" s="20"/>
      <c r="P74" s="20"/>
      <c r="Q74" s="20"/>
      <c r="R74" s="20"/>
      <c r="S74" s="20"/>
      <c r="T74" s="9"/>
    </row>
    <row r="75" spans="1:20" hidden="1" x14ac:dyDescent="0.25">
      <c r="A75" s="12"/>
      <c r="B75" s="18"/>
      <c r="C75" s="23" t="s">
        <v>26</v>
      </c>
      <c r="D75" s="23" t="s">
        <v>26</v>
      </c>
      <c r="E75" s="23" t="s">
        <v>26</v>
      </c>
      <c r="F75" s="23" t="s">
        <v>26</v>
      </c>
      <c r="G75" s="23" t="s">
        <v>26</v>
      </c>
      <c r="H75" s="23" t="s">
        <v>26</v>
      </c>
      <c r="I75" s="23" t="s">
        <v>26</v>
      </c>
      <c r="J75" s="23" t="s">
        <v>26</v>
      </c>
      <c r="K75" s="23" t="s">
        <v>26</v>
      </c>
      <c r="L75" s="23" t="s">
        <v>26</v>
      </c>
      <c r="M75" s="23" t="s">
        <v>26</v>
      </c>
      <c r="N75" s="22" t="s">
        <v>26</v>
      </c>
      <c r="O75" s="22" t="s">
        <v>25</v>
      </c>
      <c r="P75" s="22" t="s">
        <v>25</v>
      </c>
      <c r="Q75" s="22" t="s">
        <v>25</v>
      </c>
      <c r="R75" s="22" t="s">
        <v>25</v>
      </c>
      <c r="S75" s="22" t="s">
        <v>25</v>
      </c>
      <c r="T75" s="9"/>
    </row>
    <row r="76" spans="1:20" hidden="1" x14ac:dyDescent="0.25">
      <c r="A76" s="12" t="s">
        <v>21</v>
      </c>
      <c r="B76" s="18"/>
      <c r="C76" s="21">
        <f t="shared" ref="C76:K77" si="14">+C65</f>
        <v>266.2</v>
      </c>
      <c r="D76" s="21">
        <f t="shared" ref="D76:F77" si="15">+D65</f>
        <v>230.39999999999998</v>
      </c>
      <c r="E76" s="21">
        <f t="shared" si="15"/>
        <v>229.79999999999998</v>
      </c>
      <c r="F76" s="21">
        <f t="shared" si="15"/>
        <v>217</v>
      </c>
      <c r="G76" s="21">
        <f t="shared" si="14"/>
        <v>212.29999999999998</v>
      </c>
      <c r="H76" s="21">
        <f t="shared" ref="H76:J77" si="16">+H65</f>
        <v>211.60000000000002</v>
      </c>
      <c r="I76" s="21">
        <f t="shared" si="16"/>
        <v>215.5</v>
      </c>
      <c r="J76" s="21">
        <f t="shared" si="16"/>
        <v>212.1</v>
      </c>
      <c r="K76" s="21">
        <f t="shared" si="14"/>
        <v>212.267</v>
      </c>
      <c r="L76" s="21">
        <f t="shared" ref="L76:N77" si="17">+L65</f>
        <v>180</v>
      </c>
      <c r="M76" s="21">
        <f t="shared" si="17"/>
        <v>149</v>
      </c>
      <c r="N76" s="20">
        <f t="shared" si="17"/>
        <v>164.6</v>
      </c>
      <c r="O76" s="20">
        <v>114.381</v>
      </c>
      <c r="P76" s="20">
        <f t="shared" ref="P76:S77" si="18">+P65</f>
        <v>117.51600000000001</v>
      </c>
      <c r="Q76" s="20">
        <f t="shared" si="18"/>
        <v>133.066</v>
      </c>
      <c r="R76" s="20">
        <f t="shared" si="18"/>
        <v>130.761</v>
      </c>
      <c r="S76" s="20" t="e">
        <f t="shared" si="18"/>
        <v>#REF!</v>
      </c>
      <c r="T76" s="9"/>
    </row>
    <row r="77" spans="1:20" hidden="1" x14ac:dyDescent="0.25">
      <c r="A77" s="12" t="s">
        <v>23</v>
      </c>
      <c r="B77" s="18"/>
      <c r="C77" s="21">
        <v>5.3</v>
      </c>
      <c r="D77" s="21">
        <f t="shared" si="15"/>
        <v>14.3</v>
      </c>
      <c r="E77" s="21">
        <f t="shared" si="15"/>
        <v>5.3</v>
      </c>
      <c r="F77" s="21">
        <f t="shared" si="15"/>
        <v>5</v>
      </c>
      <c r="G77" s="21">
        <f t="shared" si="14"/>
        <v>10</v>
      </c>
      <c r="H77" s="21">
        <f t="shared" si="16"/>
        <v>10</v>
      </c>
      <c r="I77" s="21">
        <f t="shared" si="16"/>
        <v>10</v>
      </c>
      <c r="J77" s="21">
        <f t="shared" si="16"/>
        <v>11</v>
      </c>
      <c r="K77" s="21">
        <f t="shared" si="14"/>
        <v>25</v>
      </c>
      <c r="L77" s="21">
        <f t="shared" si="17"/>
        <v>25</v>
      </c>
      <c r="M77" s="21">
        <f t="shared" si="17"/>
        <v>25</v>
      </c>
      <c r="N77" s="20">
        <f t="shared" si="17"/>
        <v>0</v>
      </c>
      <c r="O77" s="20">
        <f>+O66</f>
        <v>24.998999999999999</v>
      </c>
      <c r="P77" s="20">
        <f t="shared" si="18"/>
        <v>24.617000000000001</v>
      </c>
      <c r="Q77" s="20">
        <f t="shared" si="18"/>
        <v>22.72</v>
      </c>
      <c r="R77" s="20">
        <f t="shared" si="18"/>
        <v>31.619</v>
      </c>
      <c r="S77" s="20">
        <f t="shared" si="18"/>
        <v>23.954000000000001</v>
      </c>
      <c r="T77" s="9"/>
    </row>
    <row r="78" spans="1:20" hidden="1" x14ac:dyDescent="0.25">
      <c r="A78" s="12"/>
      <c r="B78" s="18"/>
      <c r="C78" s="21">
        <f t="shared" ref="C78:D78" si="19">+C76+C77</f>
        <v>271.5</v>
      </c>
      <c r="D78" s="21">
        <f t="shared" si="19"/>
        <v>244.7</v>
      </c>
      <c r="E78" s="21">
        <f t="shared" ref="E78:S78" si="20">+E76+E77</f>
        <v>235.1</v>
      </c>
      <c r="F78" s="21">
        <f t="shared" si="20"/>
        <v>222</v>
      </c>
      <c r="G78" s="21">
        <f t="shared" si="20"/>
        <v>222.29999999999998</v>
      </c>
      <c r="H78" s="21">
        <f t="shared" si="20"/>
        <v>221.60000000000002</v>
      </c>
      <c r="I78" s="21">
        <f t="shared" si="20"/>
        <v>225.5</v>
      </c>
      <c r="J78" s="21">
        <f t="shared" si="20"/>
        <v>223.1</v>
      </c>
      <c r="K78" s="21">
        <f t="shared" si="20"/>
        <v>237.267</v>
      </c>
      <c r="L78" s="21">
        <f t="shared" si="20"/>
        <v>205</v>
      </c>
      <c r="M78" s="21">
        <f t="shared" si="20"/>
        <v>174</v>
      </c>
      <c r="N78" s="20">
        <f t="shared" si="20"/>
        <v>164.6</v>
      </c>
      <c r="O78" s="20">
        <f t="shared" si="20"/>
        <v>139.38</v>
      </c>
      <c r="P78" s="20">
        <f t="shared" si="20"/>
        <v>142.13300000000001</v>
      </c>
      <c r="Q78" s="20">
        <f t="shared" si="20"/>
        <v>155.786</v>
      </c>
      <c r="R78" s="20">
        <f t="shared" si="20"/>
        <v>162.38</v>
      </c>
      <c r="S78" s="20" t="e">
        <f t="shared" si="20"/>
        <v>#REF!</v>
      </c>
      <c r="T78" s="9"/>
    </row>
    <row r="79" spans="1:20" hidden="1" x14ac:dyDescent="0.25">
      <c r="A79" s="12" t="s">
        <v>28</v>
      </c>
      <c r="B79" s="18"/>
      <c r="C79" s="21">
        <v>62.1</v>
      </c>
      <c r="D79" s="21">
        <v>46.4</v>
      </c>
      <c r="E79" s="21">
        <v>53.5</v>
      </c>
      <c r="F79" s="21">
        <v>43</v>
      </c>
      <c r="G79" s="21">
        <v>40.799999999999997</v>
      </c>
      <c r="H79" s="21">
        <v>41</v>
      </c>
      <c r="I79" s="21">
        <v>40.6</v>
      </c>
      <c r="J79" s="21">
        <f>27.7</f>
        <v>27.7</v>
      </c>
      <c r="K79" s="21">
        <v>44</v>
      </c>
      <c r="L79" s="21">
        <v>34.299999999999997</v>
      </c>
      <c r="M79" s="21">
        <v>28.216999999999999</v>
      </c>
      <c r="N79" s="20">
        <v>26.9</v>
      </c>
      <c r="O79" s="20">
        <v>12.7</v>
      </c>
      <c r="P79" s="20">
        <v>16.122</v>
      </c>
      <c r="Q79" s="20">
        <v>21.6</v>
      </c>
      <c r="R79" s="20">
        <v>15.1</v>
      </c>
      <c r="S79" s="20">
        <v>22.9</v>
      </c>
      <c r="T79" s="9"/>
    </row>
    <row r="80" spans="1:20" hidden="1" x14ac:dyDescent="0.25">
      <c r="A80" s="12"/>
      <c r="B80" s="18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0"/>
      <c r="O80" s="20"/>
      <c r="P80" s="20"/>
      <c r="Q80" s="20"/>
      <c r="R80" s="20"/>
      <c r="S80" s="20"/>
      <c r="T80" s="9"/>
    </row>
    <row r="81" spans="1:20" hidden="1" x14ac:dyDescent="0.25">
      <c r="A81" s="24" t="s">
        <v>41</v>
      </c>
      <c r="B81" s="18"/>
      <c r="C81" s="21">
        <f t="shared" ref="C81:K81" si="21">+C78-C79</f>
        <v>209.4</v>
      </c>
      <c r="D81" s="21">
        <f t="shared" ref="D81:I81" si="22">+D78-D79</f>
        <v>198.29999999999998</v>
      </c>
      <c r="E81" s="21">
        <f t="shared" si="22"/>
        <v>181.6</v>
      </c>
      <c r="F81" s="21">
        <f t="shared" si="22"/>
        <v>179</v>
      </c>
      <c r="G81" s="21">
        <f t="shared" si="22"/>
        <v>181.5</v>
      </c>
      <c r="H81" s="21">
        <f t="shared" si="22"/>
        <v>180.60000000000002</v>
      </c>
      <c r="I81" s="21">
        <f t="shared" si="22"/>
        <v>184.9</v>
      </c>
      <c r="J81" s="21">
        <f t="shared" si="21"/>
        <v>195.4</v>
      </c>
      <c r="K81" s="21">
        <f t="shared" si="21"/>
        <v>193.267</v>
      </c>
      <c r="L81" s="21">
        <f t="shared" ref="L81:S81" si="23">+L78-L79</f>
        <v>170.7</v>
      </c>
      <c r="M81" s="21">
        <f t="shared" si="23"/>
        <v>145.78300000000002</v>
      </c>
      <c r="N81" s="20">
        <f t="shared" si="23"/>
        <v>137.69999999999999</v>
      </c>
      <c r="O81" s="20">
        <f t="shared" si="23"/>
        <v>126.67999999999999</v>
      </c>
      <c r="P81" s="20">
        <f t="shared" si="23"/>
        <v>126.01100000000001</v>
      </c>
      <c r="Q81" s="20">
        <f t="shared" si="23"/>
        <v>134.18600000000001</v>
      </c>
      <c r="R81" s="20">
        <f t="shared" si="23"/>
        <v>147.28</v>
      </c>
      <c r="S81" s="20" t="e">
        <f t="shared" si="23"/>
        <v>#REF!</v>
      </c>
      <c r="T81" s="9"/>
    </row>
    <row r="82" spans="1:20" hidden="1" x14ac:dyDescent="0.25">
      <c r="A82" s="12"/>
      <c r="B82" s="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19"/>
      <c r="O82" s="19"/>
      <c r="P82" s="19"/>
      <c r="Q82" s="19"/>
      <c r="R82" s="19"/>
      <c r="S82" s="19"/>
    </row>
    <row r="83" spans="1:20" hidden="1" x14ac:dyDescent="0.25">
      <c r="A83" s="12" t="s">
        <v>29</v>
      </c>
      <c r="B83" s="19"/>
      <c r="C83" s="27">
        <f t="shared" ref="C83:M83" si="24">ROUND(+(C18)/((+D81+C81)/2),3)</f>
        <v>0.155</v>
      </c>
      <c r="D83" s="27">
        <f t="shared" si="24"/>
        <v>0.13700000000000001</v>
      </c>
      <c r="E83" s="27">
        <f t="shared" si="24"/>
        <v>0.13800000000000001</v>
      </c>
      <c r="F83" s="27">
        <f t="shared" si="24"/>
        <v>0.10100000000000001</v>
      </c>
      <c r="G83" s="27">
        <f t="shared" si="24"/>
        <v>5.7000000000000002E-2</v>
      </c>
      <c r="H83" s="27">
        <f t="shared" si="24"/>
        <v>8.2000000000000003E-2</v>
      </c>
      <c r="I83" s="27">
        <f t="shared" si="24"/>
        <v>9.2999999999999999E-2</v>
      </c>
      <c r="J83" s="27">
        <f t="shared" si="24"/>
        <v>0.108</v>
      </c>
      <c r="K83" s="27">
        <f t="shared" si="24"/>
        <v>0.114</v>
      </c>
      <c r="L83" s="27">
        <f t="shared" si="24"/>
        <v>0.122</v>
      </c>
      <c r="M83" s="27">
        <f t="shared" si="24"/>
        <v>0.11700000000000001</v>
      </c>
      <c r="N83" s="26">
        <f>ROUND(+(N18)/((+O69+N81)/2),3)</f>
        <v>0.109</v>
      </c>
      <c r="O83" s="26" t="e">
        <f>ROUND(+(O18)/((+#REF!+O81)/2),3)</f>
        <v>#REF!</v>
      </c>
      <c r="P83" s="26" t="e">
        <f>ROUND(+(P18)/((+#REF!+P81)/2),3)</f>
        <v>#REF!</v>
      </c>
      <c r="Q83" s="26">
        <f>ROUND(+(Q18)/((+R81+Q81)/2),3)</f>
        <v>5.8999999999999997E-2</v>
      </c>
      <c r="R83" s="26" t="e">
        <f>ROUND(+(R18)/((+S81+R81)/2),3)</f>
        <v>#REF!</v>
      </c>
      <c r="S83" s="26" t="e">
        <f>ROUND(+(S18)/((+#REF!+S81)/2),3)</f>
        <v>#REF!</v>
      </c>
    </row>
    <row r="84" spans="1:20" hidden="1" x14ac:dyDescent="0.25">
      <c r="A84" s="28" t="s">
        <v>14</v>
      </c>
      <c r="B84" s="10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10"/>
      <c r="O84" s="10"/>
      <c r="P84" s="10"/>
      <c r="Q84" s="10"/>
      <c r="R84" s="10"/>
      <c r="S84" s="10"/>
    </row>
    <row r="85" spans="1:20" hidden="1" x14ac:dyDescent="0.25">
      <c r="A85" s="13"/>
      <c r="B85" s="14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15"/>
      <c r="O85" s="15"/>
      <c r="P85" s="15"/>
      <c r="Q85" s="15"/>
      <c r="R85" s="15"/>
      <c r="S85" s="15"/>
    </row>
    <row r="86" spans="1:20" hidden="1" x14ac:dyDescent="0.25">
      <c r="A86" s="31" t="s">
        <v>30</v>
      </c>
      <c r="B86" s="18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9"/>
      <c r="O86" s="19"/>
      <c r="P86" s="19"/>
      <c r="Q86" s="19"/>
      <c r="R86" s="19"/>
      <c r="S86" s="19"/>
    </row>
    <row r="87" spans="1:20" hidden="1" x14ac:dyDescent="0.25">
      <c r="A87" s="12" t="s">
        <v>13</v>
      </c>
      <c r="B87" s="18"/>
      <c r="C87" s="27">
        <f>ROUND(+(C28+C26)/(C67),3)</f>
        <v>0.115</v>
      </c>
      <c r="D87" s="27">
        <f>ROUND(+(D28+D26)/(D67),3)</f>
        <v>0.10299999999999999</v>
      </c>
      <c r="E87" s="27">
        <f>ROUND(+(E28+E26)/(E67),3)</f>
        <v>0.10199999999999999</v>
      </c>
      <c r="F87" s="27">
        <f>ROUND(+(F28+F26)/(F67),3)</f>
        <v>7.1999999999999995E-2</v>
      </c>
      <c r="G87" s="27">
        <f>ROUND(+(G28+G26)/(G67),3)</f>
        <v>3.6999999999999998E-2</v>
      </c>
      <c r="H87" s="27">
        <f t="shared" ref="H87:K87" si="25">ROUND(+(H28+H26)/(H67),3)</f>
        <v>5.6000000000000001E-2</v>
      </c>
      <c r="I87" s="27">
        <f t="shared" si="25"/>
        <v>6.3E-2</v>
      </c>
      <c r="J87" s="27">
        <f t="shared" si="25"/>
        <v>7.8E-2</v>
      </c>
      <c r="K87" s="27">
        <f t="shared" si="25"/>
        <v>7.4999999999999997E-2</v>
      </c>
      <c r="L87" s="27">
        <f t="shared" ref="L87:R87" si="26">ROUND(+(L28+L26)/(L67),3)</f>
        <v>8.1000000000000003E-2</v>
      </c>
      <c r="M87" s="27">
        <f t="shared" si="26"/>
        <v>8.4000000000000005E-2</v>
      </c>
      <c r="N87" s="26">
        <f t="shared" si="26"/>
        <v>8.2000000000000003E-2</v>
      </c>
      <c r="O87" s="26">
        <f t="shared" si="26"/>
        <v>0.08</v>
      </c>
      <c r="P87" s="26">
        <f t="shared" si="26"/>
        <v>-5.3999999999999999E-2</v>
      </c>
      <c r="Q87" s="26">
        <f t="shared" si="26"/>
        <v>3.1E-2</v>
      </c>
      <c r="R87" s="26">
        <f t="shared" si="26"/>
        <v>2.7E-2</v>
      </c>
      <c r="S87" s="26" t="e">
        <f>ROUND(+(S28+S26)/(S67),3)</f>
        <v>#REF!</v>
      </c>
    </row>
    <row r="88" spans="1:20" hidden="1" x14ac:dyDescent="0.25">
      <c r="A88" s="32" t="s">
        <v>14</v>
      </c>
      <c r="B88" s="18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19"/>
      <c r="O88" s="19"/>
      <c r="P88" s="19"/>
      <c r="Q88" s="19"/>
      <c r="R88" s="19"/>
      <c r="S88" s="19"/>
    </row>
    <row r="89" spans="1:20" hidden="1" x14ac:dyDescent="0.25">
      <c r="A89" s="31"/>
      <c r="B89" s="33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10"/>
      <c r="O89" s="10"/>
      <c r="P89" s="10"/>
      <c r="Q89" s="10"/>
      <c r="R89" s="10"/>
      <c r="S89" s="10"/>
    </row>
    <row r="90" spans="1:20" hidden="1" x14ac:dyDescent="0.25">
      <c r="B90" s="7"/>
    </row>
    <row r="91" spans="1:20" hidden="1" x14ac:dyDescent="0.25">
      <c r="B91" s="7"/>
      <c r="C91" s="9"/>
      <c r="D91" s="9"/>
      <c r="E91" s="9"/>
      <c r="F91" s="9"/>
      <c r="G91" s="9"/>
      <c r="H91" s="9"/>
      <c r="I91" s="9"/>
      <c r="J91" s="9"/>
    </row>
    <row r="92" spans="1:20" hidden="1" x14ac:dyDescent="0.25">
      <c r="B92" s="7"/>
      <c r="C92" s="9"/>
      <c r="D92" s="9"/>
      <c r="E92" s="9"/>
      <c r="F92" s="9"/>
      <c r="G92" s="9"/>
      <c r="H92" s="9"/>
      <c r="I92" s="9"/>
      <c r="J92" s="9"/>
      <c r="K92" s="9"/>
    </row>
    <row r="93" spans="1:20" hidden="1" x14ac:dyDescent="0.25">
      <c r="B93" s="7"/>
      <c r="K93" s="9"/>
    </row>
    <row r="94" spans="1:20" hidden="1" x14ac:dyDescent="0.25">
      <c r="A94" s="50" t="s">
        <v>39</v>
      </c>
      <c r="B94" s="7"/>
      <c r="C94" s="3">
        <v>10468</v>
      </c>
      <c r="D94" s="3">
        <f>6812598-6789520</f>
        <v>23078</v>
      </c>
      <c r="E94" s="3">
        <v>12971</v>
      </c>
    </row>
    <row r="95" spans="1:20" hidden="1" x14ac:dyDescent="0.25">
      <c r="A95" s="50" t="s">
        <v>40</v>
      </c>
      <c r="B95" s="7"/>
      <c r="C95" s="9">
        <f>+C34-C94</f>
        <v>6802130</v>
      </c>
      <c r="D95" s="9">
        <f>+D34-D94</f>
        <v>6789520</v>
      </c>
      <c r="E95" s="9">
        <f>+E34-E94</f>
        <v>6799627</v>
      </c>
      <c r="F95" s="9"/>
    </row>
    <row r="96" spans="1:20" hidden="1" x14ac:dyDescent="0.25">
      <c r="B96" s="7"/>
      <c r="E96">
        <f>+E95*E38</f>
        <v>9247492.7200000007</v>
      </c>
    </row>
    <row r="97" spans="1:6" hidden="1" x14ac:dyDescent="0.25">
      <c r="B97" s="7"/>
    </row>
    <row r="98" spans="1:6" hidden="1" x14ac:dyDescent="0.25">
      <c r="B98" s="7"/>
      <c r="C98" s="5">
        <v>26798.080000000002</v>
      </c>
      <c r="D98">
        <v>9233747.1999999993</v>
      </c>
    </row>
    <row r="99" spans="1:6" hidden="1" x14ac:dyDescent="0.25">
      <c r="B99" s="7"/>
      <c r="C99" s="9">
        <f>+C98/2.56</f>
        <v>10468</v>
      </c>
      <c r="D99" s="9">
        <f>+D98/1.36</f>
        <v>6789519.9999999991</v>
      </c>
      <c r="E99" s="9"/>
      <c r="F99" s="9"/>
    </row>
    <row r="100" spans="1:6" hidden="1" x14ac:dyDescent="0.25">
      <c r="B100" s="7"/>
      <c r="D100">
        <v>6812598</v>
      </c>
    </row>
    <row r="101" spans="1:6" hidden="1" x14ac:dyDescent="0.25">
      <c r="B101" s="7"/>
    </row>
    <row r="102" spans="1:6" hidden="1" x14ac:dyDescent="0.25">
      <c r="B102" s="7"/>
    </row>
    <row r="103" spans="1:6" hidden="1" x14ac:dyDescent="0.25">
      <c r="B103" s="7"/>
    </row>
    <row r="104" spans="1:6" x14ac:dyDescent="0.25">
      <c r="B104" s="7"/>
    </row>
    <row r="105" spans="1:6" ht="15.6" x14ac:dyDescent="0.25">
      <c r="A105" s="52" t="s">
        <v>50</v>
      </c>
      <c r="B105" s="7"/>
    </row>
    <row r="106" spans="1:6" x14ac:dyDescent="0.25">
      <c r="A106" s="52" t="s">
        <v>51</v>
      </c>
      <c r="B106" s="7"/>
    </row>
    <row r="107" spans="1:6" x14ac:dyDescent="0.25">
      <c r="B107" s="7"/>
    </row>
    <row r="108" spans="1:6" x14ac:dyDescent="0.25">
      <c r="B108" s="7"/>
    </row>
    <row r="109" spans="1:6" x14ac:dyDescent="0.25">
      <c r="B109" s="7"/>
    </row>
    <row r="110" spans="1:6" x14ac:dyDescent="0.25">
      <c r="B110" s="7"/>
    </row>
    <row r="111" spans="1:6" x14ac:dyDescent="0.25">
      <c r="B111" s="7"/>
    </row>
    <row r="112" spans="1:6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</sheetData>
  <phoneticPr fontId="0" type="noConversion"/>
  <pageMargins left="0.31496062992125984" right="0.23622047244094491" top="0.47244094488188981" bottom="0.51181102362204722" header="0.23622047244094491" footer="0.19685039370078741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10-Jahres-Übersicht Konzern</vt:lpstr>
      <vt:lpstr>'10-Jahres-Übersicht Konzern'!Druckbereich</vt:lpstr>
      <vt:lpstr>'10-Jahres-Übersicht Konzern'!Drucktitel</vt:lpstr>
    </vt:vector>
  </TitlesOfParts>
  <Company>FRoSTA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LuehrsWo</dc:creator>
  <cp:lastModifiedBy>Renken, Birgit</cp:lastModifiedBy>
  <cp:lastPrinted>2017-04-05T15:03:40Z</cp:lastPrinted>
  <dcterms:created xsi:type="dcterms:W3CDTF">2002-03-14T13:31:27Z</dcterms:created>
  <dcterms:modified xsi:type="dcterms:W3CDTF">2017-04-05T15:04:01Z</dcterms:modified>
</cp:coreProperties>
</file>